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tables/table5.xml" ContentType="application/vnd.openxmlformats-officedocument.spreadsheetml.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tables/table6.xml" ContentType="application/vnd.openxmlformats-officedocument.spreadsheetml.tab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sandialabs-my.sharepoint.com/personal/cjdelke_sandia_gov/Documents/SmartMAP/"/>
    </mc:Choice>
  </mc:AlternateContent>
  <xr:revisionPtr revIDLastSave="495" documentId="13_ncr:1_{26A7E93F-8797-4F2D-8BE2-0F9187DC4897}" xr6:coauthVersionLast="47" xr6:coauthVersionMax="47" xr10:uidLastSave="{73C82462-1D50-4EFC-9FBA-455868E98EF0}"/>
  <bookViews>
    <workbookView xWindow="-110" yWindow="-110" windowWidth="38620" windowHeight="21100" tabRatio="515" xr2:uid="{8DC42A46-BAD1-4F37-A090-78E96005B961}"/>
  </bookViews>
  <sheets>
    <sheet name="Instructions" sheetId="8" r:id="rId1"/>
    <sheet name="A1 Simple" sheetId="6" r:id="rId2"/>
    <sheet name="A2 Incremental" sheetId="7" r:id="rId3"/>
    <sheet name="A3 Test Interval" sheetId="1" r:id="rId4"/>
    <sheet name="S2 Binomial" sheetId="2" r:id="rId5"/>
    <sheet name="V1 Reliability Target" sheetId="3" r:id="rId6"/>
    <sheet name="V1 Uncertainty Target" sheetId="4" r:id="rId7"/>
    <sheet name="Function Reference" sheetId="5" state="hidden" r:id="rId8"/>
  </sheets>
  <definedNames>
    <definedName name="A2_delta" localSheetId="2">'A2 Incremental'!$C$9</definedName>
    <definedName name="A2_initial" localSheetId="2">'A2 Incremental'!$C$5</definedName>
    <definedName name="A2_target" localSheetId="2">'A2 Incremental'!$C$4</definedName>
    <definedName name="BISECT">_xlfn.LAMBDA(_xlpm.f,_xlpm.a,_xlpm.b,_xlop.tol,_xlop.iters,     _xlfn.LET(_xlpm.tol, IF(_xlfn.ISOMITTED(_xlpm.tol), 0.000000001, _xlpm.tol),         _xlpm.iters, IF(_xlfn.ISOMITTED(_xlpm.iters), 100, _xlpm.iters),         _xlpm.fa, _xlpm.f(_xlpm.a),         _xlpm.fb, _xlpm.f(_xlpm.b),         IF(SIGN(_xlpm.fa)=SIGN(_xlpm.fb), 0,             _xlfn.LET(_xlpm.mid, (_xlpm.a+_xlpm.b)/2,                 _xlpm.fmid, _xlpm.f(_xlpm.mid),                 IF(OR(_xlpm.iters&lt;=0, ABS(_xlpm.fa-_xlpm.fmid) &lt;= _xlpm.tol), _xlpm.mid,                     IF(_xlpm.fa*_xlpm.fmid &lt; 0,                         BISECT(_xlpm.f, _xlpm.a, _xlpm.mid, _xlpm.tol, _xlpm.iters-1),                         BISECT(_xlpm.f, _xlpm.mid, _xlpm.b, _xlpm.tol, _xlpm.iters-1)                     )                 )             )         )     ) )</definedName>
    <definedName name="ChangeConfidence" localSheetId="3">'A3 Test Interval'!$J$9</definedName>
    <definedName name="DIAG">_xlfn.LAMBDA(_xlpm.array,_xlop.k, _xlfn.LET(_xlpm.doc,"https://www.vertex42.com/lambda/diag.html",     _xlpm.version,"1/2/2026 - Added [k] option",     _xlpm.nR, ROWS(_xlpm.array),     _xlpm.nC, COLUMNS(_xlpm.array),     _xlpm.k, IF(_xlfn.ISOMITTED(_xlpm.k),0,_xlpm.k),     _xlpm.isVector, OR(_xlpm.nR=1, _xlpm.nC=1),     IF(_xlpm.isVector,         _xlfn.LET(             _xlpm.v, _xlfn.TOCOL(_xlpm.array),             _xlpm.nV, ROWS(_xlpm.v),             _xlpm.m, _xlpm.nV+ABS(_xlpm.k),             _xlfn.MAKEARRAY(_xlpm.m,_xlpm.m,_xlfn.LAMBDA(_xlpm.i,_xlpm.j,                 IF( _xlpm.j-_xlpm.i = _xlpm.k,                     _xlfn.LET(_xlpm.p, IF(_xlpm.k&gt;=0,_xlpm.i,_xlpm.j),                         IF(AND(_xlpm.p&gt;=1,_xlpm.p&lt;=_xlpm.nV),INDEX(_xlpm.v,_xlpm.p),0)                     ),                     0                 )             ))         ),         _xlfn.LET(             _xlpm.nK, IF(_xlpm.k&gt;=0, MAX(0, MIN(_xlpm.nR, _xlpm.nC-_xlpm.k)), MAX(0, MIN(_xlpm.nR+_xlpm.k, _xlpm.nC))),             _xlpm.i_0, IF(_xlpm.k&gt;=0,1,1-_xlpm.k),             _xlpm.j_0, IF(_xlpm.k&gt;=0,1+_xlpm.k,1),             IF(_xlpm.nK=0, NA(),                 _xlfn.MAKEARRAY(_xlpm.nK,1,_xlfn.LAMBDA(_xlpm.t,_xlpm._,INDEX(_xlpm.array,_xlpm.i_0+_xlpm.t-1,_xlpm.j_0+_xlpm.t-1)))             )         )     ) ))</definedName>
    <definedName name="DIFF" xml:space="preserve"> _xlfn.LAMBDA(_xlpm.x,_xlop.n, _xlfn.LET(_xlpm.doc,"https://www.vertex42.com/lambda/diff.html",     _xlpm.n,IF(ISBLANK(_xlpm.n),1,_xlpm.n),     _xlfn.REDUCE(1,_xlfn.SEQUENCE(_xlpm.n),_xlfn.LAMBDA(_xlpm.acc,_xlpm.i,         IF(_xlpm.i=1,             _xlfn.DROP(_xlpm.x,1)-_xlfn.DROP(_xlpm.x,-1),             _xlfn.DROP(_xlpm.acc,1)-_xlfn.DROP(_xlpm.acc,-1)         )     )) ))</definedName>
    <definedName name="FSCORES" comment="Calculate F-statistics and rejection confidence">_xlfn.LAMBDA(_xlpm.ti,_xlpm.ri,_xlpm.ni,_xlpm.model,_xlpm.params,     _xlfn.LET(_xlpm.n, SUM(_xlpm.ni),         _xlpm.k, COUNTA(_xlpm.ni),         _xlpm.gi, INT(_xlpm.ni*_xlpm.ri),         _xlpm.m, COUNTA(_xlpm.params),         _xlpm.setwo, SUM(_xlpm.ni*_xlpm.ri*(1-_xlpm.ri)) / (_xlpm.n-_xlpm.k),         _xlpm.sonetwo, SUM(_xlpm.ni*(_xlpm.ri-_xlpm.model(_xlpm.ti, _xlpm.params))^2) / (_xlpm.k-_xlpm.m),         _xlpm.Fval, _xlpm.sonetwo/_xlpm.setwo,         _xlpm.Fcrit, _xlfn.F.INV(0.95, _xlpm.k-_xlpm.m, _xlpm.n-_xlpm.k),         _xlpm.C, _xlfn.F.DIST(_xlpm.Fval, _xlpm.k-_xlpm.m, _xlpm.n-_xlpm.k, TRUE)*100,         _xlpm.accept, _xlpm.Fval&lt;_xlpm.Fcrit, _xlfn.VSTACK(_xlpm.Fval,_xlpm.Fcrit,_xlpm.C,_xlpm.accept)     ) )</definedName>
    <definedName name="GETMODEL" comment="Select model LAMBDA given its name">_xlfn.LAMBDA(_xlpm.name,     _xlfn.IFS(_xlpm.name="Exponential", S2_EXP,         _xlpm.name="Mixed Exponential", S2_MIXEDEXP,         _xlpm.name="Weibull", S2_WEIBULL,         _xlpm.name="Random Walk", S2_RANDWALK,         _xlpm.name="Restricted Walk", S2_RESTRICTEDWALK,         _xlpm.name="Gamma", S2_GAMMA,         _xlpm.name="Mortality Drift", S2_MORTALITY,         _xlpm.name="Warranty", S2_WARRANTY,         _xlpm.name="Drift", S2_DRIFT,         _xlpm.name="Lognormal", S2_LOGNORM,         TRUE(), NA()     ) )</definedName>
    <definedName name="LINSPACE" comment="Evenly spaced points">_xlfn.LAMBDA(_xlpm.start,_xlpm.end,_xlpm.n, _xlfn.LET(_xlpm.doc,"https://www.vertex42.com/lambda/linspace.html",     _xlfn.SEQUENCE(_xlpm.n,1,_xlpm.start,(_xlpm.end-_xlpm.start)/(_xlpm.n-1)) ))</definedName>
    <definedName name="MaxChange" localSheetId="3">'A3 Test Interval'!$J$10</definedName>
    <definedName name="MLE_MIN" comment="Matrix method for maximizing likelihood function (D-12).">_xlfn.LAMBDA(_xlpm.ti,_xlpm.ri,_xlpm.ni,_xlpm.model,_xlpm.theta,     _xlfn.LET(_xlpm.iterations, 20,         _xlpm.thetar, _xlpm.theta,         _xlpm.loop, _xlfn.REDUCE(_xlpm.thetar, _xlfn.SEQUENCE(_xlpm.iterations), _xlfn.LAMBDA(_xlpm.acc,_xlpm.i,             _xlfn.LET(_xlpm.thetar, INDEX(_xlpm.acc, _xlpm.i, 0),                 _xlpm.rr, _xlpm.model(_xlpm.ti, _xlpm.thetar),                 _xlpm.rdiff, _xlpm.ri-_xlpm.rr,                 _xlpm.ww, DIAG(_xlpm.ni/(_xlpm.rr*(1-_xlpm.rr))),                 _xlpm.h, _xlpm.thetar/10000,                 _xlpm.dd, (_xlpm.model(_xlpm.ti, _xlpm.thetar+_xlpm.h) - _xlpm.rr)/_xlpm.h,                 _xlpm.ddtrans, TRANSPOSE(_xlpm.dd),                 _xlpm.b, TRANSPOSE(MMULT(MMULT(MMULT(MINVERSE(MMULT(MMULT(_xlpm.ddtrans, _xlpm.ww), _xlpm.dd)), _xlpm.ddtrans), _xlpm.ww), _xlpm.rdiff)),                 _xlfn.VSTACK(_xlpm.acc, _xlpm.thetar+IFERROR(_xlpm.b,0))             )         )),         INDEX(_xlpm.loop, ROWS(_xlpm.loop), 0)     ) )</definedName>
    <definedName name="NGROUP" comment="Number of models with &quot;similar&quot; interval - NG in RP1.">_xlfn.LAMBDA(_xlpm.x,     _xlfn.LET(_xlpm.xsort, _xlfn._xlws.SORT(_xlpm.x),         _xlpm.d, DIFF(_xlpm.xsort),         _xlpm.meand, AVERAGE(_xlpm.d)*1.5,         _xlpm.newgroup, _xlpm.d&gt;_xlpm.meand,         _xlpm.groupidx, _xlfn.REDUCE(0,_xlpm.newgroup,_xlfn.LAMBDA(_xlpm.acc,_xlpm.k,             _xlfn.VSTACK(_xlpm.acc,IF(_xlpm.k,INDEX(_xlpm.acc,ROWS(_xlpm.acc))+1,INDEX(_xlpm.acc,ROWS(_xlpm.acc)))))),         _xlpm.cnt, _xlfn.MAP(_xlpm.groupidx, _xlfn.LAMBDA(_xlpm.k, ROWS(_xlfn._xlws.FILTER(_xlpm.groupidx, _xlpm.groupidx=_xlpm.k)))),         _xlfn.HSTACK(_xlpm.x, _xlpm.cnt)     ) )</definedName>
    <definedName name="NONBLANK" comment="Remove blank items in array">_xlfn.LAMBDA(_xlpm.array,     _xlfn._xlws.FILTER(_xlpm.array, _xlpm.array&lt;&gt;"") )</definedName>
    <definedName name="NumCals" localSheetId="3">'A3 Test Interval'!$J$13</definedName>
    <definedName name="NumPass" localSheetId="3">'A3 Test Interval'!$J$14</definedName>
    <definedName name="RejectionConfidence" localSheetId="3">'A3 Test Interval'!$J$19</definedName>
    <definedName name="RELIABILITY">_xlfn.LAMBDA(_xlpm.x,_xlpm.LL,_xlpm.UL,_xlpm.yinit,_xlpm.uinit,_xlpm.dfinit,_xlpm.fit,     _xlfn.LET(_xlpm.conf, UCONF(_xlpm.x, _xlpm.fit),         _xlpm.fitdf, INDEX(_xlpm.fit, 2, 2),         _xlpm.syx, INDEX(_xlpm.fit, 2, 1),         _xlpm.mu, _xlpm.yinit + YVAL(_xlpm.x, _xlpm.fit),         _xlpm.sigb, SQRT(_xlpm.conf^2 + _xlpm.uinit^2),         _xlpm.degf, _xlpm.sigb^4 / ((_xlpm.conf^4/_xlpm.fitdf + _xlpm.uinit^4/_xlpm.dfinit)),         _xlpm.RU, IFERROR(STUDENTT((_xlpm.UL-_xlpm.mu)/_xlpm.sigb, _xlpm.degf), 1),         _xlpm.RL, IFERROR(STUDENTT((_xlpm.LL-_xlpm.mu)/_xlpm.sigb, _xlpm.degf), 0),         _xlpm.RU-_xlpm.RL     ) )</definedName>
    <definedName name="ReliabilityObs" localSheetId="3">'A3 Test Interval'!$J$15</definedName>
    <definedName name="ReliabilityTarget" localSheetId="3">'A3 Test Interval'!$J$8</definedName>
    <definedName name="RT_degf" localSheetId="5">'V1 Reliability Target'!$K$7</definedName>
    <definedName name="RT_delta" localSheetId="5">'V1 Reliability Target'!$G$4</definedName>
    <definedName name="RT_FitOrder" localSheetId="5">'V1 Reliability Target'!$K$4</definedName>
    <definedName name="RT_fitresult" localSheetId="5">'V1 Reliability Target'!$N$10</definedName>
    <definedName name="RT_fituncert" localSheetId="5">'V1 Reliability Target'!$N$5</definedName>
    <definedName name="RT_Initial" localSheetId="5">'V1 Reliability Target'!$K$5</definedName>
    <definedName name="RT_interval" localSheetId="5">'V1 Reliability Target'!$N$4</definedName>
    <definedName name="RT_LL" localSheetId="5">'V1 Reliability Target'!$K$9</definedName>
    <definedName name="RT_plotmax" localSheetId="5">'V1 Reliability Target'!$K$14</definedName>
    <definedName name="RT_plotmaxdata" localSheetId="5">'V1 Reliability Target'!$K$15</definedName>
    <definedName name="RT_predicteddegf" localSheetId="5">'V1 Reliability Target'!$N$8</definedName>
    <definedName name="RT_predictedu" localSheetId="5">'V1 Reliability Target'!$N$7</definedName>
    <definedName name="RT_predictedy" localSheetId="5">'V1 Reliability Target'!$N$6</definedName>
    <definedName name="RT_searchmax" localSheetId="5">'V1 Reliability Target'!$K$13</definedName>
    <definedName name="RT_target" localSheetId="5">'V1 Reliability Target'!$K$8</definedName>
    <definedName name="RT_time" localSheetId="5">'V1 Reliability Target'!$F$4</definedName>
    <definedName name="RT_Uinitial" localSheetId="5">'V1 Reliability Target'!$K$6</definedName>
    <definedName name="RT_UL" localSheetId="5">'V1 Reliability Target'!$K$10</definedName>
    <definedName name="S2_bestfit" localSheetId="4">'S2 Binomial'!$G$3</definedName>
    <definedName name="S2_DRIFT">_xlfn.LAMBDA(_xlpm.t,_xlpm.p,     _xlfn.LET(_xlpm.a, INDEX(_xlpm.p,1),         _xlpm.b, INDEX(_xlpm.p,2),         _xlpm.c, INDEX(_xlpm.p,3),         _xlpm.p, _xlfn.NORM.S.DIST(_xlpm.a+_xlpm.c*_xlpm.t, TRUE),         _xlpm.q, _xlfn.NORM.S.DIST(_xlpm.b-_xlpm.c*_xlpm.t, TRUE),         _xlpm.p+_xlpm.q-1     ) )</definedName>
    <definedName name="S2_EXP" comment="Exponential Fit Model">_xlfn.LAMBDA(_xlpm.t,_xlpm.p,   EXP(-_xlpm.t*INDEX(_xlpm.p,1)) )</definedName>
    <definedName name="S2_foms" localSheetId="4">'S2 Binomial'!$J$13:$AM$13</definedName>
    <definedName name="S2_GAMMA">_xlfn.LAMBDA(_xlpm.t,_xlpm.p,     _xlfn.LET(_xlpm.a, INDEX(_xlpm.p,1),         EXP(-_xlpm.a*_xlpm.t) * (1 + _xlpm.a*_xlpm.t + ((_xlpm.a*_xlpm.t)^2)/2 + ((_xlpm.a*_xlpm.t)^3)/6)     ) )</definedName>
    <definedName name="S2_groups">'S2 Binomial'!$F$23</definedName>
    <definedName name="S2_interval_results">'S2 Binomial'!$J$6:$AM$6</definedName>
    <definedName name="S2_LOGNORM">_xlfn.LAMBDA(_xlpm.t,_xlpm.p,     _xlfn.LET(_xlpm.a, INDEX(_xlpm.p,1),         _xlpm.b, INDEX(_xlpm.p,2),         IFERROR(1 - _xlfn.NORM.S.DIST(LN(_xlpm.a*_xlpm.t)/_xlpm.b, TRUE), 1)     ) )</definedName>
    <definedName name="S2_maxobserved" localSheetId="4">'S2 Binomial'!$G$16</definedName>
    <definedName name="S2_MIXEDEXP">_xlfn.LAMBDA(_xlpm.t,_xlpm.p,     _xlfn.LET(_xlpm.a, INDEX(_xlpm.p,1),         _xlpm.b, INDEX(_xlpm.p,2),         (1 + _xlpm.a*_xlpm.t)^(-_xlpm.b)     ) )</definedName>
    <definedName name="S2_modelnames" localSheetId="4">'S2 Binomial'!$J$2:$AM$2</definedName>
    <definedName name="S2_MORTALITY">_xlfn.LAMBDA(_xlpm.t,_xlpm.p,     _xlfn.LET(_xlpm.a, INDEX(_xlpm.p,1),         _xlpm.b, INDEX(_xlpm.p,2),         EXP(-(_xlpm.a*_xlpm.t + _xlpm.b*_xlpm.t^2))     ) )</definedName>
    <definedName name="S2_RANDWALK">_xlfn.LAMBDA(_xlpm.t,_xlpm.p,     _xlfn.LET(_xlpm.a, INDEX(_xlpm.p,1),         _xlpm.b, INDEX(_xlpm.p,2),         _xlpm.q, 1/SQRT(_xlpm.a + _xlpm.t*_xlpm.b),         2*_xlfn.NORM.S.DIST(_xlpm.q, TRUE)-1     ) )</definedName>
    <definedName name="S2_RESTRICTEDWALK">_xlfn.LAMBDA(_xlpm.t,_xlpm.p,     _xlfn.LET(_xlpm.a, INDEX(_xlpm.p,1),         _xlpm.b, INDEX(_xlpm.p,2),         _xlpm.c, INDEX(_xlpm.p,3),         _xlpm.q, 1/SQRT(_xlpm.a + _xlpm.b*(1-EXP(-_xlpm.c*_xlpm.t))),         2*_xlfn.NORM.S.DIST(_xlpm.q, TRUE)-1     ) )</definedName>
    <definedName name="S2_target" localSheetId="4">'S2 Binomial'!$C$2</definedName>
    <definedName name="S2_WARRANTY">_xlfn.LAMBDA(_xlpm.t,_xlpm.p,     _xlfn.LET(_xlpm.a, INDEX(_xlpm.p,1),         _xlpm.b, INDEX(_xlpm.p,2),         1/(1 + EXP(_xlpm.a*(_xlpm.t-_xlpm.b)))     ) )</definedName>
    <definedName name="S2_WEIBULL" comment="Weibull Reliability Model">_xlfn.LAMBDA(_xlpm.t,_xlpm.p,     _xlfn.LET(_xlpm.a, INDEX(_xlpm.p,1),         _xlpm.b, INDEX(_xlpm.p,2),         EXP(-((_xlpm.a*_xlpm.t)^_xlpm.b))     ) )</definedName>
    <definedName name="STUDENTT">_xlfn.LAMBDA(_xlpm.z,_xlpm.v,     _xlfn.IFS(_xlpm.z=0, 0.5,         _xlpm.z&lt;0, 0.5*(1-_xlfn.BETA.DIST(_xlpm.z*_xlpm.z/(_xlpm.v+_xlpm.z*_xlpm.z), 0.5, _xlpm.v/2, TRUE)),         TRUE, 0.5*(1+_xlfn.BETA.DIST(_xlpm.z*_xlpm.z/(_xlpm.v+_xlpm.z*_xlpm.z), 0.5, _xlpm.v/2, TRUE))     ) )</definedName>
    <definedName name="TestInterval" localSheetId="3">'A3 Test Interval'!$J$6</definedName>
    <definedName name="UCONF">_xlfn.LAMBDA(_xlpm.x,_xlpm.fit,     _xlfn.LET(_xlpm.n, ROWS(_xlpm.fit)-2,         _xlpm.params, _xlfn.TAKE(INDEX(_xlpm.fit, 1, 0), 1, _xlpm.n),         _xlpm.cov, _xlfn.TAKE(_xlpm.fit, -_xlpm.n, _xlpm.n),         _xlpm.tprime, _xlfn.MAP(_xlfn.SEQUENCE(_xlpm.n), _xlfn.LAMBDA(_xlpm.k, _xlpm.x^_xlpm.k)),         SQRT(MMULT(MMULT(TRANSPOSE(_xlpm.tprime), _xlpm.cov), _xlpm.tprime)) ) )</definedName>
    <definedName name="UT_degf" localSheetId="6">'V1 Uncertainty Target'!$K$7</definedName>
    <definedName name="UT_delta" localSheetId="6">'V1 Uncertainty Target'!$G$4</definedName>
    <definedName name="UT_fitorder" localSheetId="6">'V1 Uncertainty Target'!$K$4</definedName>
    <definedName name="UT_fitresult" localSheetId="6">'V1 Uncertainty Target'!$N$11</definedName>
    <definedName name="UT_fituncert" localSheetId="6">'V1 Uncertainty Target'!$N$5</definedName>
    <definedName name="UT_initial" localSheetId="6">'V1 Uncertainty Target'!$K$5</definedName>
    <definedName name="UT_interval" localSheetId="6">'V1 Uncertainty Target'!$N$4</definedName>
    <definedName name="UT_plotmax" localSheetId="6">'V1 Uncertainty Target'!$K$12</definedName>
    <definedName name="UT_plotmaxdata" localSheetId="6">'V1 Uncertainty Target'!$K$13</definedName>
    <definedName name="UT_predicted" localSheetId="6">'V1 Uncertainty Target'!$N$6</definedName>
    <definedName name="UT_predicteddegf" localSheetId="6">'V1 Uncertainty Target'!$N$8</definedName>
    <definedName name="UT_predictedu" localSheetId="6">'V1 Uncertainty Target'!$N$7</definedName>
    <definedName name="UT_searchmax" localSheetId="6">'V1 Uncertainty Target'!$K$11</definedName>
    <definedName name="UT_target" localSheetId="6">'V1 Uncertainty Target'!$K$8</definedName>
    <definedName name="UT_time" localSheetId="6">'V1 Uncertainty Target'!$F$4</definedName>
    <definedName name="UT_uinitial" localSheetId="6">'V1 Uncertainty Target'!$K$6</definedName>
    <definedName name="V1FIT">_xlfn.LAMBDA(_xlpm.t,_xlpm.dt,_xlpm.order,     _xlfn.LET(_xlpm.x, _xlfn.MAKEARRAY(ROWS(_xlpm.t), _xlpm.order, _xlfn.LAMBDA(_xlpm.I,_xlpm.j, _xlfn.IFS(_xlpm.j=1, INDEX(_xlpm.t, _xlpm.I), _xlpm.j=2, INDEX(_xlpm.t, _xlpm.I)^2, _xlpm.j=3, INDEX(_xlpm.t, _xlpm.I)^3))),         _xlpm.xt, TRANSPOSE(_xlpm.x),         _xlpm.params, TRANSPOSE(MMULT(MMULT(MINVERSE(MMULT(_xlpm.xt, _xlpm.x)), _xlpm.xt), _xlpm.dt)),         _xlpm.resid, _xlfn.REDUCE(_xlpm.dt, _xlfn.SEQUENCE(_xlpm.order), _xlfn.LAMBDA(_xlpm.acc,_xlpm.k, _xlpm.acc-INDEX(_xlpm.params,_xlpm.k)*_xlpm.t^_xlpm.k)),         _xlpm.ss, MMULT(TRANSPOSE(_xlpm.resid), _xlpm.resid),         _xlpm.degf, ROWS(_xlpm.t) - _xlpm.order,         _xlpm.cov, _xlpm.ss/_xlpm.degf * MINVERSE(MMULT(_xlpm.xt, _xlpm.x)),         _xlfn.VSTACK(_xlpm.params, _xlfn.HSTACK(SQRT(SUM(_xlpm.resid^2)/_xlpm.degf), _xlpm.degf), _xlpm.cov)     ) )</definedName>
    <definedName name="YVAL">_xlfn.LAMBDA(_xlpm.x,_xlpm.fit,     _xlfn.LET(_xlpm.n, ROWS(_xlpm.fit)-2,         _xlpm.params, _xlfn.TAKE(INDEX(_xlpm.fit, 1, 0), 1, _xlpm.n),         _xlpm.tprime, _xlfn.MAP(_xlfn.SEQUENCE(_xlpm.n), _xlfn.LAMBDA(_xlpm.k, _xlpm.x^_xlpm.k)),         MMULT(TRANSPOSE(_xlpm.tprime), TRANSPOSE(_xlpm.params))     )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7" l="1"/>
  <c r="C9" i="7" a="1"/>
  <c r="C9" i="7" s="1"/>
  <c r="D9" i="7" s="1" a="1"/>
  <c r="D9" i="7" s="1"/>
  <c r="F4" i="6"/>
  <c r="C11" i="6"/>
  <c r="C12" i="6" s="1"/>
  <c r="C13" i="6" s="1"/>
  <c r="C14" i="6" s="1"/>
  <c r="C15" i="6" s="1"/>
  <c r="C16" i="6" s="1"/>
  <c r="C17" i="6" s="1"/>
  <c r="C18" i="6" s="1"/>
  <c r="C19" i="6" s="1"/>
  <c r="C20" i="6" s="1"/>
  <c r="C21" i="6" s="1"/>
  <c r="C22" i="6" s="1"/>
  <c r="C23" i="6" s="1"/>
  <c r="C24" i="6" s="1"/>
  <c r="C25" i="6" s="1"/>
  <c r="C26" i="6" s="1"/>
  <c r="C27" i="6" s="1"/>
  <c r="C28" i="6" s="1"/>
  <c r="C29" i="6" s="1"/>
  <c r="C6" i="6"/>
  <c r="N19" i="4" l="1"/>
  <c r="N18" i="4"/>
  <c r="G4" i="4" a="1"/>
  <c r="G4" i="4" s="1"/>
  <c r="F4" i="4" a="1"/>
  <c r="F4" i="4" s="1"/>
  <c r="N11" i="4" s="1" a="1"/>
  <c r="N11" i="4" s="1"/>
  <c r="N21" i="3"/>
  <c r="N20" i="3"/>
  <c r="G4" i="3" a="1"/>
  <c r="G4" i="3" s="1"/>
  <c r="F4" i="3" a="1"/>
  <c r="F4" i="3" s="1"/>
  <c r="N10" i="3" s="1" a="1"/>
  <c r="N10" i="3" s="1"/>
  <c r="AK8" i="2" a="1"/>
  <c r="AK8" i="2" s="1"/>
  <c r="AG8" i="2" a="1"/>
  <c r="AG8" i="2" s="1"/>
  <c r="AD8" i="2" a="1"/>
  <c r="AD8" i="2" s="1"/>
  <c r="AA8" i="2" a="1"/>
  <c r="AA8" i="2" s="1"/>
  <c r="Y8" i="2" a="1"/>
  <c r="Y8" i="2" s="1"/>
  <c r="U8" i="2" a="1"/>
  <c r="U8" i="2" s="1"/>
  <c r="J8" i="2" a="1"/>
  <c r="J8" i="2" s="1"/>
  <c r="R8" i="2" a="1"/>
  <c r="R8" i="2" s="1"/>
  <c r="O8" i="2" a="1"/>
  <c r="O8" i="2" s="1"/>
  <c r="L8" i="2" a="1"/>
  <c r="L8" i="2" s="1"/>
  <c r="G20" i="2"/>
  <c r="G19" i="2"/>
  <c r="O9" i="2" l="1" a="1"/>
  <c r="O9" i="2" s="1"/>
  <c r="Y6" i="2" a="1"/>
  <c r="Y6" i="2" s="1"/>
  <c r="AG6" i="2" a="1"/>
  <c r="AG6" i="2" s="1"/>
  <c r="K15" i="3"/>
  <c r="P20" i="3" s="1" a="1"/>
  <c r="P20" i="3" s="1"/>
  <c r="K13" i="3"/>
  <c r="K14" i="3" s="1"/>
  <c r="J20" i="3" s="1" a="1"/>
  <c r="J20" i="3" s="1"/>
  <c r="R9" i="2" a="1"/>
  <c r="R9" i="2" s="1"/>
  <c r="K11" i="4"/>
  <c r="K12" i="4" s="1"/>
  <c r="K13" i="4"/>
  <c r="P18" i="4" s="1" a="1"/>
  <c r="P18" i="4" s="1"/>
  <c r="Q18" i="4" s="1" a="1"/>
  <c r="Q18" i="4" s="1"/>
  <c r="AK9" i="2" a="1"/>
  <c r="AK9" i="2" s="1"/>
  <c r="AG9" i="2" a="1"/>
  <c r="AG9" i="2" s="1"/>
  <c r="AD9" i="2" a="1"/>
  <c r="AD9" i="2" s="1"/>
  <c r="AA9" i="2" a="1"/>
  <c r="AA9" i="2" s="1"/>
  <c r="Y9" i="2" a="1"/>
  <c r="Y9" i="2" s="1"/>
  <c r="U9" i="2" a="1"/>
  <c r="U9" i="2" s="1"/>
  <c r="L9" i="2" a="1"/>
  <c r="L9" i="2" s="1"/>
  <c r="J9" i="2" a="1"/>
  <c r="J9" i="2" s="1"/>
  <c r="G16" i="2"/>
  <c r="O16" i="2" s="1" a="1"/>
  <c r="O16" i="2" s="1"/>
  <c r="M21" i="3" l="1"/>
  <c r="R6" i="2" a="1"/>
  <c r="R6" i="2" s="1"/>
  <c r="AG16" i="2" a="1"/>
  <c r="AG16" i="2" s="1"/>
  <c r="Y16" i="2" a="1"/>
  <c r="Y16" i="2" s="1"/>
  <c r="R16" i="2" a="1"/>
  <c r="R16" i="2" s="1"/>
  <c r="AD6" i="2" a="1"/>
  <c r="AD6" i="2" s="1"/>
  <c r="U16" i="2" a="1"/>
  <c r="U16" i="2" s="1"/>
  <c r="AD16" i="2" a="1"/>
  <c r="AD16" i="2" s="1"/>
  <c r="U6" i="2" a="1"/>
  <c r="U6" i="2" s="1"/>
  <c r="AA6" i="2" a="1"/>
  <c r="AA6" i="2" s="1"/>
  <c r="J6" i="2" a="1"/>
  <c r="J6" i="2" s="1"/>
  <c r="AK6" i="2" a="1"/>
  <c r="AK6" i="2" s="1"/>
  <c r="AA16" i="2" a="1"/>
  <c r="AA16" i="2" s="1"/>
  <c r="J16" i="2" a="1"/>
  <c r="J16" i="2" s="1"/>
  <c r="AK16" i="2" a="1"/>
  <c r="AK16" i="2" s="1"/>
  <c r="L6" i="2" a="1"/>
  <c r="L6" i="2" s="1"/>
  <c r="O6" i="2" a="1"/>
  <c r="O6" i="2" s="1"/>
  <c r="L16" i="2" a="1"/>
  <c r="L16" i="2" s="1"/>
  <c r="R22" i="4" a="1"/>
  <c r="R22" i="4" s="1"/>
  <c r="R34" i="4" a="1"/>
  <c r="R34" i="4" s="1"/>
  <c r="Q25" i="4" a="1"/>
  <c r="Q25" i="4" s="1"/>
  <c r="R18" i="4" a="1"/>
  <c r="R18" i="4" s="1"/>
  <c r="R27" i="4" a="1"/>
  <c r="R27" i="4" s="1"/>
  <c r="Q35" i="4" a="1"/>
  <c r="Q35" i="4" s="1"/>
  <c r="Q24" i="4" a="1"/>
  <c r="Q24" i="4" s="1"/>
  <c r="Q32" i="4" a="1"/>
  <c r="Q32" i="4" s="1"/>
  <c r="Q33" i="4" a="1"/>
  <c r="Q33" i="4" s="1"/>
  <c r="R21" i="4" a="1"/>
  <c r="R21" i="4" s="1"/>
  <c r="Q27" i="4" a="1"/>
  <c r="Q27" i="4" s="1"/>
  <c r="R29" i="4" a="1"/>
  <c r="R29" i="4" s="1"/>
  <c r="Q29" i="4" a="1"/>
  <c r="Q29" i="4" s="1"/>
  <c r="R19" i="4" a="1"/>
  <c r="R19" i="4" s="1"/>
  <c r="R31" i="4" a="1"/>
  <c r="R31" i="4" s="1"/>
  <c r="R36" i="4" a="1"/>
  <c r="R36" i="4" s="1"/>
  <c r="Q31" i="4" a="1"/>
  <c r="Q31" i="4" s="1"/>
  <c r="R24" i="4" a="1"/>
  <c r="R24" i="4" s="1"/>
  <c r="Q36" i="4" a="1"/>
  <c r="Q36" i="4" s="1"/>
  <c r="T36" i="4" s="1"/>
  <c r="Q19" i="4" a="1"/>
  <c r="Q19" i="4" s="1"/>
  <c r="R35" i="4" a="1"/>
  <c r="R35" i="4" s="1"/>
  <c r="Q30" i="4" a="1"/>
  <c r="Q30" i="4" s="1"/>
  <c r="Q37" i="4" a="1"/>
  <c r="Q37" i="4" s="1"/>
  <c r="Q20" i="4" a="1"/>
  <c r="Q20" i="4" s="1"/>
  <c r="R26" i="4" a="1"/>
  <c r="R26" i="4" s="1"/>
  <c r="Q22" i="4" a="1"/>
  <c r="Q22" i="4" s="1"/>
  <c r="R33" i="4" a="1"/>
  <c r="R33" i="4" s="1"/>
  <c r="R25" i="4" a="1"/>
  <c r="R25" i="4" s="1"/>
  <c r="R37" i="4" a="1"/>
  <c r="R37" i="4" s="1"/>
  <c r="R23" i="4" a="1"/>
  <c r="R23" i="4" s="1"/>
  <c r="N4" i="4" a="1"/>
  <c r="N4" i="4" s="1"/>
  <c r="N5" i="4" s="1" a="1"/>
  <c r="N5" i="4" s="1"/>
  <c r="N7" i="4" s="1"/>
  <c r="N8" i="4" s="1"/>
  <c r="Q23" i="4" a="1"/>
  <c r="Q23" i="4" s="1"/>
  <c r="R30" i="4" a="1"/>
  <c r="R30" i="4" s="1"/>
  <c r="Q28" i="4" a="1"/>
  <c r="Q28" i="4" s="1"/>
  <c r="R32" i="4" a="1"/>
  <c r="R32" i="4" s="1"/>
  <c r="Q26" i="4" a="1"/>
  <c r="Q26" i="4" s="1"/>
  <c r="Q34" i="4" a="1"/>
  <c r="Q34" i="4" s="1"/>
  <c r="R28" i="4" a="1"/>
  <c r="R28" i="4" s="1"/>
  <c r="Q21" i="4" a="1"/>
  <c r="Q21" i="4" s="1"/>
  <c r="R20" i="4" a="1"/>
  <c r="R20" i="4" s="1"/>
  <c r="M19" i="4"/>
  <c r="J18" i="4" a="1"/>
  <c r="R26" i="3" a="1"/>
  <c r="R26" i="3" s="1"/>
  <c r="N4" i="3" a="1"/>
  <c r="N4" i="3" s="1"/>
  <c r="N6" i="3" s="1" a="1"/>
  <c r="N6" i="3" s="1"/>
  <c r="R34" i="3" a="1"/>
  <c r="R34" i="3" s="1"/>
  <c r="Q22" i="3" a="1"/>
  <c r="Q22" i="3" s="1"/>
  <c r="T22" i="3" s="1"/>
  <c r="Q30" i="3" a="1"/>
  <c r="Q30" i="3" s="1"/>
  <c r="Q20" i="3" a="1"/>
  <c r="Q20" i="3" s="1"/>
  <c r="K35" i="3" a="1"/>
  <c r="K35" i="3" s="1"/>
  <c r="K22" i="3" a="1"/>
  <c r="K22" i="3" s="1"/>
  <c r="Q21" i="3" a="1"/>
  <c r="Q21" i="3" s="1"/>
  <c r="R24" i="3" a="1"/>
  <c r="R24" i="3" s="1"/>
  <c r="R38" i="3" a="1"/>
  <c r="R38" i="3" s="1"/>
  <c r="Q32" i="3" a="1"/>
  <c r="Q32" i="3" s="1"/>
  <c r="Q24" i="3" a="1"/>
  <c r="Q24" i="3" s="1"/>
  <c r="Q28" i="3" a="1"/>
  <c r="Q28" i="3" s="1"/>
  <c r="R29" i="3" a="1"/>
  <c r="R29" i="3" s="1"/>
  <c r="K39" i="3" a="1"/>
  <c r="K39" i="3" s="1"/>
  <c r="K30" i="3" a="1"/>
  <c r="K30" i="3" s="1"/>
  <c r="Q39" i="3" a="1"/>
  <c r="Q39" i="3" s="1"/>
  <c r="R33" i="3" a="1"/>
  <c r="R33" i="3" s="1"/>
  <c r="Q35" i="3" a="1"/>
  <c r="Q35" i="3" s="1"/>
  <c r="R30" i="3" a="1"/>
  <c r="R30" i="3" s="1"/>
  <c r="K25" i="3" a="1"/>
  <c r="K25" i="3" s="1"/>
  <c r="K28" i="3" a="1"/>
  <c r="K28" i="3" s="1"/>
  <c r="K38" i="3" a="1"/>
  <c r="K38" i="3" s="1"/>
  <c r="Q31" i="3" a="1"/>
  <c r="Q31" i="3" s="1"/>
  <c r="R25" i="3" a="1"/>
  <c r="R25" i="3" s="1"/>
  <c r="Q27" i="3" a="1"/>
  <c r="Q27" i="3" s="1"/>
  <c r="R22" i="3" a="1"/>
  <c r="R22" i="3" s="1"/>
  <c r="R36" i="3" a="1"/>
  <c r="R36" i="3" s="1"/>
  <c r="Q36" i="3" a="1"/>
  <c r="Q36" i="3" s="1"/>
  <c r="R23" i="3" a="1"/>
  <c r="R23" i="3" s="1"/>
  <c r="Q37" i="3" a="1"/>
  <c r="Q37" i="3" s="1"/>
  <c r="Q34" i="3" a="1"/>
  <c r="Q34" i="3" s="1"/>
  <c r="K33" i="3" a="1"/>
  <c r="K33" i="3" s="1"/>
  <c r="K36" i="3" a="1"/>
  <c r="K36" i="3" s="1"/>
  <c r="K24" i="3" a="1"/>
  <c r="K24" i="3" s="1"/>
  <c r="Q23" i="3" a="1"/>
  <c r="Q23" i="3" s="1"/>
  <c r="Q38" i="3" a="1"/>
  <c r="Q38" i="3" s="1"/>
  <c r="R39" i="3" a="1"/>
  <c r="R39" i="3" s="1"/>
  <c r="Q33" i="3" a="1"/>
  <c r="Q33" i="3" s="1"/>
  <c r="R28" i="3" a="1"/>
  <c r="R28" i="3" s="1"/>
  <c r="Q25" i="3" a="1"/>
  <c r="Q25" i="3" s="1"/>
  <c r="K34" i="3" a="1"/>
  <c r="K34" i="3" s="1"/>
  <c r="K23" i="3" a="1"/>
  <c r="K23" i="3" s="1"/>
  <c r="K31" i="3" a="1"/>
  <c r="K31" i="3" s="1"/>
  <c r="K32" i="3" a="1"/>
  <c r="K32" i="3" s="1"/>
  <c r="R35" i="3" a="1"/>
  <c r="R35" i="3" s="1"/>
  <c r="R31" i="3" a="1"/>
  <c r="R31" i="3" s="1"/>
  <c r="K29" i="3" a="1"/>
  <c r="K29" i="3" s="1"/>
  <c r="K26" i="3" a="1"/>
  <c r="K26" i="3" s="1"/>
  <c r="K21" i="3" a="1"/>
  <c r="K21" i="3" s="1"/>
  <c r="R27" i="3" a="1"/>
  <c r="R27" i="3" s="1"/>
  <c r="R37" i="3" a="1"/>
  <c r="R37" i="3" s="1"/>
  <c r="R20" i="3" a="1"/>
  <c r="R20" i="3" s="1"/>
  <c r="S20" i="3" s="1"/>
  <c r="K27" i="3" a="1"/>
  <c r="K27" i="3" s="1"/>
  <c r="K37" i="3" a="1"/>
  <c r="K37" i="3" s="1"/>
  <c r="Q29" i="3" a="1"/>
  <c r="Q29" i="3" s="1"/>
  <c r="R32" i="3" a="1"/>
  <c r="R32" i="3" s="1"/>
  <c r="Q26" i="3" a="1"/>
  <c r="Q26" i="3" s="1"/>
  <c r="R21" i="3" a="1"/>
  <c r="R21" i="3" s="1"/>
  <c r="K20" i="3" a="1"/>
  <c r="K20" i="3" s="1"/>
  <c r="S38" i="3"/>
  <c r="S23" i="4"/>
  <c r="S24" i="3"/>
  <c r="I20" i="2" a="1"/>
  <c r="I20" i="2" s="1"/>
  <c r="F20" i="2"/>
  <c r="T24" i="4" l="1"/>
  <c r="T31" i="3"/>
  <c r="N6" i="4" a="1"/>
  <c r="N6" i="4" s="1"/>
  <c r="M23" i="4"/>
  <c r="M22" i="4"/>
  <c r="J18" i="4"/>
  <c r="K18" i="4" s="1" a="1"/>
  <c r="K18" i="4" s="1"/>
  <c r="K36" i="4" a="1"/>
  <c r="K36" i="4" s="1"/>
  <c r="K25" i="4" a="1"/>
  <c r="K25" i="4" s="1"/>
  <c r="K27" i="4" a="1"/>
  <c r="K27" i="4" s="1"/>
  <c r="K22" i="4" a="1"/>
  <c r="K22" i="4" s="1"/>
  <c r="K33" i="4" a="1"/>
  <c r="K33" i="4" s="1"/>
  <c r="K26" i="4" a="1"/>
  <c r="K26" i="4" s="1"/>
  <c r="K31" i="4" a="1"/>
  <c r="K31" i="4" s="1"/>
  <c r="K35" i="4" a="1"/>
  <c r="K35" i="4" s="1"/>
  <c r="K21" i="4" a="1"/>
  <c r="K21" i="4" s="1"/>
  <c r="K23" i="4" a="1"/>
  <c r="K23" i="4" s="1"/>
  <c r="K34" i="4" a="1"/>
  <c r="K34" i="4" s="1"/>
  <c r="K20" i="4" a="1"/>
  <c r="K20" i="4" s="1"/>
  <c r="K28" i="4" a="1"/>
  <c r="K28" i="4" s="1"/>
  <c r="K24" i="4" a="1"/>
  <c r="K24" i="4" s="1"/>
  <c r="K19" i="4" a="1"/>
  <c r="K19" i="4" s="1"/>
  <c r="K29" i="4" a="1"/>
  <c r="K29" i="4" s="1"/>
  <c r="K37" i="4" a="1"/>
  <c r="K37" i="4" s="1"/>
  <c r="K32" i="4" a="1"/>
  <c r="K32" i="4" s="1"/>
  <c r="K30" i="4" a="1"/>
  <c r="K30" i="4" s="1"/>
  <c r="T34" i="4"/>
  <c r="S34" i="4"/>
  <c r="S30" i="4"/>
  <c r="T20" i="4"/>
  <c r="S27" i="4"/>
  <c r="T31" i="4"/>
  <c r="T32" i="4"/>
  <c r="T29" i="4"/>
  <c r="T35" i="4"/>
  <c r="T30" i="4"/>
  <c r="S26" i="4"/>
  <c r="S37" i="4"/>
  <c r="S24" i="4"/>
  <c r="T23" i="4"/>
  <c r="T18" i="4"/>
  <c r="S29" i="3"/>
  <c r="M24" i="3"/>
  <c r="M25" i="3"/>
  <c r="N5" i="3" a="1"/>
  <c r="N5" i="3" s="1"/>
  <c r="N7" i="3" s="1"/>
  <c r="N8" i="3" s="1"/>
  <c r="T25" i="3"/>
  <c r="T24" i="3"/>
  <c r="T23" i="3"/>
  <c r="S31" i="3"/>
  <c r="S28" i="3"/>
  <c r="T20" i="3"/>
  <c r="T39" i="3"/>
  <c r="S21" i="3"/>
  <c r="S32" i="3"/>
  <c r="S22" i="3"/>
  <c r="T27" i="3"/>
  <c r="T33" i="3"/>
  <c r="S37" i="3"/>
  <c r="S34" i="3"/>
  <c r="S30" i="3"/>
  <c r="S35" i="3"/>
  <c r="S36" i="3"/>
  <c r="T32" i="3"/>
  <c r="S25" i="3"/>
  <c r="T29" i="3"/>
  <c r="S23" i="3"/>
  <c r="T28" i="3"/>
  <c r="S39" i="3"/>
  <c r="T30" i="3"/>
  <c r="S26" i="3"/>
  <c r="T38" i="3"/>
  <c r="T36" i="3"/>
  <c r="T35" i="3"/>
  <c r="T34" i="3"/>
  <c r="T26" i="3"/>
  <c r="T21" i="3"/>
  <c r="S27" i="3"/>
  <c r="S33" i="3"/>
  <c r="T37" i="3"/>
  <c r="S35" i="4"/>
  <c r="S18" i="4"/>
  <c r="S36" i="4"/>
  <c r="T37" i="4"/>
  <c r="S19" i="4"/>
  <c r="S31" i="4"/>
  <c r="T26" i="4"/>
  <c r="T33" i="4"/>
  <c r="S29" i="4"/>
  <c r="S20" i="4"/>
  <c r="S28" i="4"/>
  <c r="T28" i="4"/>
  <c r="T27" i="4"/>
  <c r="S32" i="4"/>
  <c r="T19" i="4"/>
  <c r="S33" i="4"/>
  <c r="T22" i="4"/>
  <c r="S22" i="4"/>
  <c r="T25" i="4"/>
  <c r="S25" i="4"/>
  <c r="T21" i="4"/>
  <c r="S21" i="4"/>
  <c r="F23" i="2" a="1"/>
  <c r="F23" i="2" s="1"/>
  <c r="J20" i="2" a="1"/>
  <c r="J20" i="2" s="1"/>
  <c r="AK20" i="2" a="1"/>
  <c r="AK20" i="2" s="1"/>
  <c r="AD20" i="2" a="1"/>
  <c r="AD20" i="2" s="1"/>
  <c r="U20" i="2" a="1"/>
  <c r="U20" i="2" s="1"/>
  <c r="Y20" i="2" a="1"/>
  <c r="Y20" i="2" s="1"/>
  <c r="AA20" i="2" a="1"/>
  <c r="AA20" i="2" s="1"/>
  <c r="L20" i="2" a="1"/>
  <c r="L20" i="2" s="1"/>
  <c r="AG20" i="2" a="1"/>
  <c r="AG20" i="2" s="1"/>
  <c r="R20" i="2" a="1"/>
  <c r="R20" i="2" s="1"/>
  <c r="O20" i="2" a="1"/>
  <c r="O20" i="2" s="1"/>
  <c r="F22" i="1"/>
  <c r="F21" i="1"/>
  <c r="F20" i="1"/>
  <c r="F19" i="1"/>
  <c r="F18" i="1"/>
  <c r="F17" i="1"/>
  <c r="F16" i="1"/>
  <c r="F15" i="1"/>
  <c r="J14" i="1" a="1"/>
  <c r="J14" i="1" s="1"/>
  <c r="F14" i="1"/>
  <c r="J13" i="1" a="1"/>
  <c r="J13" i="1" s="1"/>
  <c r="F13" i="1"/>
  <c r="F12" i="1"/>
  <c r="F11" i="1"/>
  <c r="F10" i="1"/>
  <c r="F9" i="1"/>
  <c r="F8" i="1"/>
  <c r="F7" i="1"/>
  <c r="F6" i="1"/>
  <c r="AK17" i="2" l="1" a="1"/>
  <c r="AK17" i="2" s="1"/>
  <c r="L17" i="2" a="1"/>
  <c r="L17" i="2" s="1"/>
  <c r="AG17" i="2" a="1"/>
  <c r="AG17" i="2" s="1"/>
  <c r="AG13" i="2" s="1"/>
  <c r="J17" i="2" a="1"/>
  <c r="J17" i="2" s="1"/>
  <c r="AD17" i="2" a="1"/>
  <c r="AD17" i="2" s="1"/>
  <c r="AD13" i="2" s="1"/>
  <c r="U17" i="2" a="1"/>
  <c r="U17" i="2" s="1"/>
  <c r="U13" i="2" s="1"/>
  <c r="AA17" i="2" a="1"/>
  <c r="AA17" i="2" s="1"/>
  <c r="AA13" i="2" s="1"/>
  <c r="R17" i="2" a="1"/>
  <c r="R17" i="2" s="1"/>
  <c r="Y17" i="2" a="1"/>
  <c r="Y17" i="2" s="1"/>
  <c r="Y13" i="2" s="1"/>
  <c r="O17" i="2" a="1"/>
  <c r="O17" i="2" s="1"/>
  <c r="N23" i="4"/>
  <c r="AK13" i="2"/>
  <c r="J17" i="1"/>
  <c r="J15" i="1"/>
  <c r="J19" i="1"/>
  <c r="J21" i="1" s="1"/>
  <c r="J18" i="1"/>
  <c r="J13" i="2" l="1"/>
  <c r="R13" i="2"/>
  <c r="L13" i="2"/>
  <c r="O13" i="2"/>
  <c r="G3" i="2" l="1"/>
  <c r="G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<sst xmlns="http://schemas.openxmlformats.org/spreadsheetml/2006/main" count="254" uniqueCount="198">
  <si>
    <t>May include calibration cycles for similar items (other items of same model number, for example)</t>
  </si>
  <si>
    <t>Enter "1" for in-tolerance, "0" for out of tolerance. Can use "NA", or other designators to exclude items that were damaged, lost, etc.</t>
  </si>
  <si>
    <t>Asset</t>
  </si>
  <si>
    <t>Workorder</t>
  </si>
  <si>
    <t>Start Date</t>
  </si>
  <si>
    <t>End Date</t>
  </si>
  <si>
    <t>Interval Length</t>
  </si>
  <si>
    <t>IT(1)/OOT(0)</t>
  </si>
  <si>
    <t>Parameters</t>
  </si>
  <si>
    <t>Interval (days) to Test</t>
  </si>
  <si>
    <t>Tolerance (days)</t>
  </si>
  <si>
    <t>Reliability Target</t>
  </si>
  <si>
    <t>Change confidence</t>
  </si>
  <si>
    <t>Maximum change factor</t>
  </si>
  <si>
    <t>Total calibrations</t>
  </si>
  <si>
    <t>Passing calibrations</t>
  </si>
  <si>
    <t>Observed Reliability</t>
  </si>
  <si>
    <t>True reliability (lower)</t>
  </si>
  <si>
    <t>True reliability (upper)</t>
  </si>
  <si>
    <t>Rejection Confidence</t>
  </si>
  <si>
    <t>Suggested interval</t>
  </si>
  <si>
    <t>Reliability</t>
  </si>
  <si>
    <t>Calibrations</t>
  </si>
  <si>
    <t>Max Observed Interval</t>
  </si>
  <si>
    <t>t</t>
  </si>
  <si>
    <t>R(t)</t>
  </si>
  <si>
    <t>Interval</t>
  </si>
  <si>
    <t>F</t>
  </si>
  <si>
    <t>F Critical</t>
  </si>
  <si>
    <t>Accept?</t>
  </si>
  <si>
    <t>Rejection Conf.</t>
  </si>
  <si>
    <t>Fit Parameters (MLE)</t>
  </si>
  <si>
    <t>Exponential</t>
  </si>
  <si>
    <t>R = exp(-t*a)</t>
  </si>
  <si>
    <t>Mixed Exponential</t>
  </si>
  <si>
    <t xml:space="preserve"> R = (1+at)^(-b)</t>
  </si>
  <si>
    <t>Weibull</t>
  </si>
  <si>
    <t xml:space="preserve"> R=exp(-(t*a)^b)</t>
  </si>
  <si>
    <t>Random Walk</t>
  </si>
  <si>
    <t>R=2Φ( 1/SQRT(a+bt) ) - 1</t>
  </si>
  <si>
    <t>tr</t>
  </si>
  <si>
    <t>NG</t>
  </si>
  <si>
    <t>Figure of Merit</t>
  </si>
  <si>
    <t>Suggested Interval</t>
  </si>
  <si>
    <t>Best Fit Model</t>
  </si>
  <si>
    <t>Model</t>
  </si>
  <si>
    <t>Model Equation</t>
  </si>
  <si>
    <t>Restricted Walk</t>
  </si>
  <si>
    <t>R=2Φ( 1/SQRT(a+b(1-exp(-c*t)) ) - 1</t>
  </si>
  <si>
    <t>Gamma</t>
  </si>
  <si>
    <t>Mortality Drift</t>
  </si>
  <si>
    <t>Warranty</t>
  </si>
  <si>
    <t>Drift</t>
  </si>
  <si>
    <t>Lognormal</t>
  </si>
  <si>
    <t>Results</t>
  </si>
  <si>
    <t>Initial Guess</t>
  </si>
  <si>
    <t>Calculated Interval</t>
  </si>
  <si>
    <t>Plot Line Target Reliability</t>
  </si>
  <si>
    <t>R=exp(-a*t)*(a+a*t+(at)^2/2 + (at)^3/6)</t>
  </si>
  <si>
    <t>R=exp(-(a*t+b*t^2))</t>
  </si>
  <si>
    <t>1/(1+exp(a*(t-b)))</t>
  </si>
  <si>
    <t>R=Φ(a+c*t)+Φ(b-c*t)-1</t>
  </si>
  <si>
    <t>1-Φ(ln(a*t)/b)</t>
  </si>
  <si>
    <t>Calibration Date</t>
  </si>
  <si>
    <t>As-Found Value</t>
  </si>
  <si>
    <t>As-Left Value</t>
  </si>
  <si>
    <t>Fit Order</t>
  </si>
  <si>
    <t>Initial Value</t>
  </si>
  <si>
    <t>Initial Uncertainty</t>
  </si>
  <si>
    <t>Initial uncertainty degf</t>
  </si>
  <si>
    <t>Uncertainty Target</t>
  </si>
  <si>
    <t>Fit Parameters</t>
  </si>
  <si>
    <t>Syx / degf_fit</t>
  </si>
  <si>
    <t>Fit Covariance</t>
  </si>
  <si>
    <t>Fit Uncertainty</t>
  </si>
  <si>
    <t>Projected Result</t>
  </si>
  <si>
    <t>Projected Uncertainty</t>
  </si>
  <si>
    <t>Projected Deg. F.</t>
  </si>
  <si>
    <t>u(t)</t>
  </si>
  <si>
    <t>Search Max</t>
  </si>
  <si>
    <t>Target Plot Line</t>
  </si>
  <si>
    <t>Interval Plot Line</t>
  </si>
  <si>
    <t>y(t)</t>
  </si>
  <si>
    <t>y-u</t>
  </si>
  <si>
    <t>y+u</t>
  </si>
  <si>
    <t>∆(t)</t>
  </si>
  <si>
    <t>Resubmission Time t</t>
  </si>
  <si>
    <t>Reliability Plot Max</t>
  </si>
  <si>
    <t>Target Search Max</t>
  </si>
  <si>
    <t>Data Plot Max</t>
  </si>
  <si>
    <t>Initial Uncertainty Degf</t>
  </si>
  <si>
    <t>Lower Tolerance</t>
  </si>
  <si>
    <t>Upper Tolerance</t>
  </si>
  <si>
    <t>Plot Setup</t>
  </si>
  <si>
    <t>Uncertainty Plot Max</t>
  </si>
  <si>
    <t>These are the same formulas entered in the Name Manager, listed here for readability. To modify, copy them to a real code editor then paste in to the name manager.</t>
  </si>
  <si>
    <t>Comments</t>
  </si>
  <si>
    <t>General Equations</t>
  </si>
  <si>
    <t>Pass/Fail</t>
  </si>
  <si>
    <t>New Interval</t>
  </si>
  <si>
    <t>Initial Interval</t>
  </si>
  <si>
    <t>Increase coefficient a</t>
  </si>
  <si>
    <t>Decrease coefficient b</t>
  </si>
  <si>
    <t>Initial</t>
  </si>
  <si>
    <t>Average Reliability</t>
  </si>
  <si>
    <t>Method A1 and A2 are not recommended due to inability to hit the reliability target. It is included in this spreadsheet (and RP-1) to "discourage their reinvention".</t>
  </si>
  <si>
    <t>Delta</t>
  </si>
  <si>
    <t>BISECT</t>
  </si>
  <si>
    <t>=LAMBDA(f,a,b,[tol],[iters],
    LET(tol, IF(ISOMITTED(tol), 0.000000001, tol),
        iters, IF(ISOMITTED(iters), 100, iters),
        fa, f(a),
        fb, f(b),
        IF(SIGN(fa)=SIGN(fb), 0,
            LET(mid, (a+b)/2,
                fmid, f(mid),
                IF(OR(iters&lt;=0, ABS(fa-fmid) &lt;= tol), mid,
                    IF(fa*fmid &lt; 0, BISECT(f, a, mid, tol, iters-1), BISECT(f, mid, b, tol, iters-1))
                )
            )
        )
    )
)</t>
  </si>
  <si>
    <t>Find zeros of the function f between a and b using bisection</t>
  </si>
  <si>
    <t>NONBLANK</t>
  </si>
  <si>
    <t>=LAMBDA(array, FILTER(array, array&lt;&gt;"") )</t>
  </si>
  <si>
    <t>Method S2 Functions</t>
  </si>
  <si>
    <t>FSCORES</t>
  </si>
  <si>
    <t>Calculate F-score and rejection confidence for one S2 model. Returns stack of {F, Fcritical, Rejection Conf, F&lt;Fcrit}.</t>
  </si>
  <si>
    <t>=LAMBDA(ti,ri,ni,model,params,
    LET(n, SUM(ni),
        k, COUNTA(ni),
        gi, INT(ni*ri),
        m, COUNTA(params),
        setwo, SUM(ni*ri*(1-ri)) / (n-k),
        sonetwo, SUM(ni*(ri-model(ti, params))^2) / (k-m),
        Fval, sonetwo/setwo,
        Fcrit, F.INV(0.95, k-m, n-k),
        C, F.DIST(Fval, k-m, n-k, TRUE)*100,
        accept, Fval&lt;Fcrit, VSTACK(Fval,Fcrit,C,accept)
    )
)</t>
  </si>
  <si>
    <t>Remove blank items from the array</t>
  </si>
  <si>
    <t>MLE_MIN</t>
  </si>
  <si>
    <t>=LAMBDA(ti,ri,ni,model,theta,
    LET(iterations, 20,
        thetar, theta,
        loop, REDUCE(thetar, SEQUENCE(iterations), LAMBDA(acc,i,
            LET(thetar, INDEX(acc, i, 0),
                rr, model(ti, thetar),
                rdiff, ri-rr,
                ww, DIAG(ni/(rr*(1-rr))),
                h, thetar/10000,
                dd, (model(ti, thetar+h) - rr)/h,
                ddtrans, TRANSPOSE(dd),
                b, TRANSPOSE(MMULT(MMULT(MMULT(MINVERSE(MMULT(MMULT(ddtrans, ww), dd)), ddtrans), ww), rdiff)),
                VSTACK(acc, thetar+IFERROR(b,0))
            )
        )),
        INDEX(loop, ROWS(loop), 0)
    )
)</t>
  </si>
  <si>
    <t>Minimize the negative log likelihood function, RP1 equation D-12</t>
  </si>
  <si>
    <t>NGROUP</t>
  </si>
  <si>
    <t>Get number of S2 results in the same "group" of similar intervals</t>
  </si>
  <si>
    <t>=LAMBDA(x,
LET(xsort, SORT(x),
    d, DIFF(xsort),
    meand, AVERAGE(d)*1.5,
    newgroup, d&gt;meand,
    groupidx, REDUCE(0,newgroup,LAMBDA(acc,k,
        VSTACK(acc,IF(k,INDEX(acc,ROWS(acc))+1,INDEX(acc,ROWS(acc))))
    )),
    cnt, MAP(groupidx, LAMBDA(k, ROWS(FILTER(groupidx, groupidx=k)))),
    HSTACK(x, cnt)
    )
)</t>
  </si>
  <si>
    <t>S2 Fit Models</t>
  </si>
  <si>
    <t>=LAMBDA(t,p,
    LET(a, INDEX(p,1),
        b, INDEX(p,2),
        c, INDEX(p,3),
        p, NORM.S.DIST(a+c*t, TRUE),
        q, NORM.S.DIST(b-c*t, TRUE),
        p+q-1
    )
)</t>
  </si>
  <si>
    <t>S2_DRIFT</t>
  </si>
  <si>
    <t>S2_EXP</t>
  </si>
  <si>
    <t>=LAMBDA(t,p, EXP(-t*INDEX(p,1)))</t>
  </si>
  <si>
    <t>S2_GAMMA</t>
  </si>
  <si>
    <t>S2_LOGNORM</t>
  </si>
  <si>
    <t>S2_MIXEDEXP</t>
  </si>
  <si>
    <t>=LAMBDA(t,p,
    LET(a, INDEX(p,1),
    EXP(-a*t) * (1 + a*t + ((a*t)^2)/2 + ((a*t)^3)/6)
    )
)</t>
  </si>
  <si>
    <t>=LAMBDA(t,p,
    LET(a, INDEX(p,1),
    b, INDEX(p,2),
    IFERROR(1 - NORM.S.DIST(LN(a*t)/b, TRUE), 1)
    )
)</t>
  </si>
  <si>
    <t>=LAMBDA(t,p,
    LET(a, INDEX(p,1),
    b, INDEX(p,2),
    (1 + a*t)^(-b)
    )
)</t>
  </si>
  <si>
    <t>S2_MORTALITY</t>
  </si>
  <si>
    <t>S2_RANDWALK</t>
  </si>
  <si>
    <t>S2_RESTRICTEDWALK</t>
  </si>
  <si>
    <t>S2_WARRANTY</t>
  </si>
  <si>
    <t>S2_WEIBULL</t>
  </si>
  <si>
    <t>=LAMBDA(t,p,
    LET(a, INDEX(p,1),
        b, INDEX(p,2),
        EXP(-((a*t)^b))
    )
)</t>
  </si>
  <si>
    <t>=LAMBDA(t,p,
    LET(a, INDEX(p,1),
        b, INDEX(p,2),
        1/(1 + EXP(a*(t-b)))
    )
)</t>
  </si>
  <si>
    <t>=LAMBDA(t,p,
    LET(a, INDEX(p,1),
        b, INDEX(p,2),
        c, INDEX(p,3),
        q, 1/SQRT(a + b*(1-EXP(-c*t))),
        2*NORM.S.DIST(q, TRUE)-1
    )
)</t>
  </si>
  <si>
    <t>=LAMBDA(t,p,
    LET(a, INDEX(p,1),
        b, INDEX(p,2),
        q, 1/SQRT(a + t*b),
        2*NORM.S.DIST(q, TRUE)-1
    )
)</t>
  </si>
  <si>
    <t>=LAMBDA(t,p,
    LET(a, INDEX(p,1),
        b, INDEX(p,2),
        EXP(-(a*t + b*t^2))
    )
)</t>
  </si>
  <si>
    <t>=LAMBDA(name,
    IFS(name="Exponential", S2_EXP,
    name="Mixed Exponential", S2_MIXEDEXP,
    name="Weibull", S2_WEIBULL,
    name="Random Walk", S2_RANDWALK,
    name="Restricted Walk", S2_RESTRICTEDWALK,
    name="Gamma", S2_GAMMA,
    name="Mortality Drift", S2_MORTALITY,
    name="Warranty", S2_WARRANTY,
    name="Drift", S2_DRIFT,
    name="Lognormal", S2_LOGNORM,
    TRUE(), NA()
    )
)</t>
  </si>
  <si>
    <t>GETMODEL</t>
  </si>
  <si>
    <t>Get S2 model function by name</t>
  </si>
  <si>
    <t>V1 Functions</t>
  </si>
  <si>
    <t>STUDENTT</t>
  </si>
  <si>
    <t>=LAMBDA(z,v,
    IFS(z=0, 0.5,
        z&lt;0, 0.5*(1-BETA.DIST(z*z/(v+z*z), 0.5, v/2, TRUE)),
        TRUE, 0.5*(1+BETA.DIST(z*z/(v+z*z), 0.5, v/2, TRUE))
    )
)</t>
  </si>
  <si>
    <t>Calculate CDF of Student T. Excel's version doesn't handle fractional degrees of freedom.
Based on Uses https://stats.stackexchange.com/questions/394978/how-to-approximate-the-student-t-cdf-at-a-point-without-the-hypergeometric-funct</t>
  </si>
  <si>
    <t>V1FIT</t>
  </si>
  <si>
    <t>=LAMBDA(t,dt,order,
    LET(x, MAKEARRAY(ROWS(t), order, LAMBDA(I,j, IFS(j=1, INDEX(t, I), j=2, INDEX(t, I)^2, j=3, INDEX(t, I)^3))),
        xt, TRANSPOSE(x),
        params, TRANSPOSE(MMULT(MMULT(MINVERSE(MMULT(xt, x)), xt), dt)),
        resid, REDUCE(dt, SEQUENCE(order), LAMBDA(acc,k, acc-INDEX(params,k)*t^k)),
        ss, MMULT(TRANSPOSE(resid), resid),
        degf, ROWS(t) - order,
        cov, ss/degf * MINVERSE(MMULT(xt, x)),
        VSTACK(params, HSTACK(SQRT(SUM(resid^2)/degf), degf), cov)
    )
)</t>
  </si>
  <si>
    <t>Calculate curve fit of t, dt values with given polynomial order. Returns vstack of coefficients, Syx|Degf, covariance.</t>
  </si>
  <si>
    <t>Calculate confidence band of curve fit at x given results of V1FIT method</t>
  </si>
  <si>
    <t>UCONF</t>
  </si>
  <si>
    <t>=LAMBDA(x,fit,
    LET(n, ROWS(fit)-2,
        params, TAKE(INDEX(fit, 1, 0), 1, n),
        cov, TAKE(fit, -n, n),
        tprime, MAP(SEQUENCE(n), LAMBDA(k, x^k)),
        SQRT(MMULT(MMULT(TRANSPOSE(tprime), cov), tprime))
    )
)</t>
  </si>
  <si>
    <t>YVAL</t>
  </si>
  <si>
    <t>Calculate predicted y value at x using results of V1FIT method</t>
  </si>
  <si>
    <t>=LAMBDA(x,fit,
    LET(n, ROWS(fit)-2,
        params, TAKE(INDEX(fit, 1, 0), 1, n),
        tprime, MAP(SEQUENCE(n), LAMBDA(k, x^k)),
        MMULT(TRANSPOSE(tprime), TRANSPOSE(params))
    )
)</t>
  </si>
  <si>
    <t>=LAMBDA(x,LL,UL,yinit,uinit,dfinit,fit,
    LET(conf, UCONF(x, fit),
        fitdf, INDEX(fit, 2, 2),
        syx, INDEX(fit, 2, 1),
        mu, yinit + YVAL(x, fit),
        sigb, SQRT(conf^2 + uinit^2),
        degf, sigb^4 / ((conf^4/fitdf + uinit^4/dfinit)),
        RU, IFERROR(STUDENTT((UL-mu)/sigb, degf), 1),
        RL, IFERROR(STUDENTT((LL-mu)/sigb, degf), 0),
        RU-RL
    )
)</t>
  </si>
  <si>
    <t>RELIABILITY</t>
  </si>
  <si>
    <t>Calculate reliability at time x for V1 method</t>
  </si>
  <si>
    <t>Utility Functions from Vertex42.com (MIT Licensed)</t>
  </si>
  <si>
    <t>DIAG</t>
  </si>
  <si>
    <t>=LAMBDA(array,[k],
LET(doc,"https://www.vertex42.com/lambda/diag.html",
    version,"1/2/2026 - Added [k] option",
    nR, ROWS(array),
    nC, COLUMNS(array),
    k, IF(ISOMITTED(k),0,k),
    isVector, OR(nR=1, nC=1),
    IF(isVector,
        LET(
            v, TOCOL(array),
            nV, ROWS(v),
            m, nV+ABS(k),
            MAKEARRAY(m,m,LAMBDA(i,j,
                IF( j-i = k,
                    LET(p, IF(k&gt;=0,i,j),
                        IF(AND(p&gt;=1,p&lt;=nV),INDEX(v,p),0)
                    ),
                    0
                )
            ))
        ),
        LET(
            nK, IF(k&gt;=0, MAX(0, MIN(nR, nC-k)), MAX(0, MIN(nR+k, nC))),
            i_0, IF(k&gt;=0,1,1-k),
            j_0, IF(k&gt;=0,1+k,1),
            IF(nK=0, NA(),
                MAKEARRAY(nK,1,LAMBDA(t,_,INDEX(array,i_0+t-1,j_0+t-1)))
            )
        )
    )
))</t>
  </si>
  <si>
    <t>Generate diagonal matrix, or get diagonal of matrix</t>
  </si>
  <si>
    <t>DIFF</t>
  </si>
  <si>
    <t>= LAMBDA(x,[n],
LET(doc,"https://www.vertex42.com/lambda/diff.html",
    n,IF(ISBLANK(n),1,n),
    REDUCE(1,SEQUENCE(n),LAMBDA(acc,i,
        IF(i=1,
            DROP(x,1)-DROP(x,-1),
            DROP(acc,1)-DROP(acc,-1)
        )
    ))
))</t>
  </si>
  <si>
    <t>Elementwise difference of array</t>
  </si>
  <si>
    <t>LINSPACE</t>
  </si>
  <si>
    <t>= LAMBDA(start,end,n,
LET(doc,"https://www.vertex42.com/lambda/linspace.html",
    SEQUENCE(n,1,start,(end-start)/(n-1))
))</t>
  </si>
  <si>
    <t>Array of equally spaced points</t>
  </si>
  <si>
    <t>uncertainty@sandia.gov</t>
  </si>
  <si>
    <t>Spreadsheet Tabs</t>
  </si>
  <si>
    <t>Lists the LAMBDA functions used in Excel's Name Manager for readability. Hidden by default.</t>
  </si>
  <si>
    <t>About</t>
  </si>
  <si>
    <t>Sandia National Laboratories is a multimission laboratory managed and operated by National Technology &amp; Engineering Solutions of Sandia, LLC, a wholly owned subsidiary of Honeywell International Inc., for the U.S. Department of Energy’s National Nuclear Security Administration under contract DE-NA0003525.</t>
  </si>
  <si>
    <t>SAND2026-16029O</t>
  </si>
  <si>
    <t>Sandia Primary Standards Lab - Excel Calibration Interval Calculator (RP-1 Methods)</t>
  </si>
  <si>
    <t>v0.1</t>
  </si>
  <si>
    <t>A1 Simple</t>
  </si>
  <si>
    <t>Simple Response Method. Not recommended in practice, but included for reference and to "discourage its reinvention".</t>
  </si>
  <si>
    <t>A2 Incremental</t>
  </si>
  <si>
    <t>Incremental Response Method. Not recommended in practice, but included for reference and to "discourage its reinvention".</t>
  </si>
  <si>
    <t>A3 Test Interval</t>
  </si>
  <si>
    <t>Test whether the assigned interval has been achieving the reliability target based on historical pass/fail values at a single interval.</t>
  </si>
  <si>
    <t>S2 Binomial Method</t>
  </si>
  <si>
    <t>Fit historical reliability to a reliability model to find the optimal interval. Requires historical pass/fail data at various intervals.</t>
  </si>
  <si>
    <t>V1 Reliability Target</t>
  </si>
  <si>
    <t>Variables method with a reliability target. Uses historical data of a single asset to predict drift and set interval to achieve a reliability.</t>
  </si>
  <si>
    <t>V1 Uncertainty Target</t>
  </si>
  <si>
    <t>Variables method with a uncertainty target. Uses historical data of a single asset to predict drift and set interval to achieve an allowable uncertianty growth.</t>
  </si>
  <si>
    <t>Function Reference</t>
  </si>
  <si>
    <t>Enter "1" for in-tolerance, "0" for out of tolerance.</t>
  </si>
  <si>
    <t>Enter historical reliability data for multiple interval lengths.</t>
  </si>
  <si>
    <t>Enter historical as-found and as-left values for one item</t>
  </si>
  <si>
    <t>This spreadsheet provides calculation of interval optimization methods in NCSLI Recommended Practice 1. Green cells are user inputs, blue cells are calculated output values. Gray cells, often hidden, are intermediate calculated values or plot data.
No Excel Macros are used, however the calculations make use of Excel's LAMBDA function which is only available in Office 365 or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</si>
</sst>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0.000"/>
    <numFmt numFmtId="165" formatCode="0.00000"/>
    <numFmt numFmtId="166" formatCode="0.0000000000000"/>
    <numFmt numFmtId="167" formatCode="0.0"/>
    <numFmt numFmtId="168" formatCode="0.0E+00"/>
    <numFmt numFmtId="169" formatCode="0.000000"/>
    <numFmt numFmtId="170" formatCode="0.0%"/>
  </numFmts>
  <fonts count="10">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1"/>
      <color rgb="FFC00000"/>
      <name val="Aptos Narrow"/>
      <family val="2"/>
      <scheme val="minor"/>
    </font>
    <font>
      <sz val="11"/>
      <color theme="4"/>
      <name val="Aptos Narrow"/>
      <family val="2"/>
      <scheme val="minor"/>
    </font>
    <font>
      <sz val="11"/>
      <color theme="0"/>
      <name val="Aptos Narrow"/>
      <family val="2"/>
      <scheme val="minor"/>
    </font>
    <font>
      <u/>
      <sz val="11"/>
      <color theme="10"/>
      <name val="Aptos Narrow"/>
      <family val="2"/>
      <scheme val="minor"/>
    </font>
    <font>
      <b/>
      <sz val="14"/>
      <color theme="1"/>
      <name val="Aptos Narrow"/>
      <family val="2"/>
      <scheme val="minor"/>
    </font>
    <font>
      <i/>
      <sz val="11"/>
      <color rgb="FF323940"/>
      <name val="OpenSans-Regular"/>
    </font>
  </fonts>
  <fills count="8">
    <fill>
      <patternFill patternType="none"/>
    </fill>
    <fill>
      <patternFill patternType="gray125"/>
    </fill>
    <fill>
      <patternFill patternType="solid">
        <fgColor theme="9" tint="-0.249977111117893"/>
        <bgColor indexed="64"/>
      </patternFill>
    </fill>
    <fill>
      <patternFill patternType="solid">
        <fgColor theme="9" tint="0.79998168889431442"/>
        <bgColor indexed="64"/>
      </patternFill>
    </fill>
    <fill>
      <patternFill patternType="solid">
        <fgColor theme="3" tint="0.89999084444715716"/>
        <bgColor indexed="64"/>
      </patternFill>
    </fill>
    <fill>
      <patternFill patternType="solid">
        <fgColor theme="3" tint="0.249977111117893"/>
        <bgColor indexed="64"/>
      </patternFill>
    </fill>
    <fill>
      <patternFill patternType="solid">
        <fgColor theme="0" tint="-4.9989318521683403E-2"/>
        <bgColor indexed="64"/>
      </patternFill>
    </fill>
    <fill>
      <patternFill patternType="solid">
        <fgColor theme="2"/>
        <bgColor indexed="64"/>
      </patternFill>
    </fill>
  </fills>
  <borders count="22">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7" fillId="0" borderId="0" applyNumberFormat="0" applyFill="0" applyBorder="0" applyAlignment="0" applyProtection="0"/>
  </cellStyleXfs>
  <cellXfs count="178">
    <xf numFmtId="0" fontId="0" fillId="0" borderId="0" xfId="0"/>
    <xf numFmtId="0" fontId="0" fillId="0" borderId="0" xfId="0" applyAlignment="1">
      <alignment horizontal="center"/>
    </xf>
    <xf numFmtId="14" fontId="0" fillId="0" borderId="0" xfId="0" applyNumberFormat="1" applyAlignment="1">
      <alignment horizontal="center"/>
    </xf>
    <xf numFmtId="0" fontId="0" fillId="3" borderId="3" xfId="0" applyFill="1" applyBorder="1"/>
    <xf numFmtId="0" fontId="0" fillId="3" borderId="4" xfId="0" applyFill="1" applyBorder="1"/>
    <xf numFmtId="10" fontId="0" fillId="3" borderId="4" xfId="0" applyNumberFormat="1" applyFill="1" applyBorder="1"/>
    <xf numFmtId="9" fontId="0" fillId="3" borderId="4" xfId="0" applyNumberFormat="1" applyFill="1" applyBorder="1"/>
    <xf numFmtId="0" fontId="0" fillId="3" borderId="5" xfId="0" applyFill="1" applyBorder="1"/>
    <xf numFmtId="0" fontId="0" fillId="3" borderId="6" xfId="0" applyFill="1" applyBorder="1"/>
    <xf numFmtId="164" fontId="0" fillId="0" borderId="0" xfId="0" applyNumberFormat="1"/>
    <xf numFmtId="0" fontId="3" fillId="3" borderId="7" xfId="0" applyFont="1" applyFill="1" applyBorder="1"/>
    <xf numFmtId="9" fontId="3" fillId="3" borderId="8" xfId="0" applyNumberFormat="1" applyFont="1" applyFill="1" applyBorder="1"/>
    <xf numFmtId="0" fontId="0" fillId="3" borderId="9" xfId="0" applyFill="1" applyBorder="1"/>
    <xf numFmtId="0" fontId="2" fillId="5" borderId="10" xfId="0" applyFont="1" applyFill="1" applyBorder="1"/>
    <xf numFmtId="0" fontId="2" fillId="5" borderId="11" xfId="0" applyFont="1" applyFill="1" applyBorder="1"/>
    <xf numFmtId="0" fontId="3" fillId="4" borderId="12" xfId="0" applyFont="1" applyFill="1" applyBorder="1"/>
    <xf numFmtId="0" fontId="3" fillId="4" borderId="13" xfId="0" applyFont="1" applyFill="1" applyBorder="1"/>
    <xf numFmtId="0" fontId="0" fillId="0" borderId="0" xfId="0" applyBorder="1"/>
    <xf numFmtId="0" fontId="0" fillId="4" borderId="12" xfId="0" applyFill="1" applyBorder="1"/>
    <xf numFmtId="0" fontId="0" fillId="4" borderId="13" xfId="0" applyFill="1" applyBorder="1"/>
    <xf numFmtId="11" fontId="0" fillId="3" borderId="12" xfId="0" applyNumberFormat="1" applyFill="1" applyBorder="1"/>
    <xf numFmtId="11" fontId="0" fillId="3" borderId="13" xfId="0" applyNumberFormat="1" applyFill="1" applyBorder="1"/>
    <xf numFmtId="1" fontId="3" fillId="4" borderId="12" xfId="0" applyNumberFormat="1" applyFont="1" applyFill="1" applyBorder="1"/>
    <xf numFmtId="1" fontId="3" fillId="4" borderId="13" xfId="0" applyNumberFormat="1" applyFont="1" applyFill="1" applyBorder="1"/>
    <xf numFmtId="164" fontId="0" fillId="4" borderId="12" xfId="0" applyNumberFormat="1" applyFill="1" applyBorder="1"/>
    <xf numFmtId="164" fontId="0" fillId="4" borderId="13" xfId="0" applyNumberFormat="1" applyFill="1" applyBorder="1"/>
    <xf numFmtId="2" fontId="0" fillId="4" borderId="12" xfId="0" applyNumberFormat="1" applyFill="1" applyBorder="1"/>
    <xf numFmtId="0" fontId="0" fillId="4" borderId="12" xfId="0" applyFill="1" applyBorder="1" applyAlignment="1">
      <alignment horizontal="right"/>
    </xf>
    <xf numFmtId="167" fontId="3" fillId="4" borderId="12" xfId="0" applyNumberFormat="1" applyFont="1" applyFill="1" applyBorder="1"/>
    <xf numFmtId="0" fontId="0" fillId="4" borderId="14" xfId="0" applyFill="1" applyBorder="1"/>
    <xf numFmtId="0" fontId="0" fillId="4" borderId="15" xfId="0" applyFill="1" applyBorder="1"/>
    <xf numFmtId="0" fontId="0" fillId="4" borderId="0" xfId="0" applyFill="1" applyBorder="1"/>
    <xf numFmtId="11" fontId="0" fillId="3" borderId="0" xfId="0" applyNumberFormat="1" applyFill="1" applyBorder="1"/>
    <xf numFmtId="0" fontId="0" fillId="3" borderId="13" xfId="0" applyFill="1" applyBorder="1"/>
    <xf numFmtId="1" fontId="3" fillId="4" borderId="0" xfId="0" applyNumberFormat="1" applyFont="1" applyFill="1" applyBorder="1"/>
    <xf numFmtId="164" fontId="0" fillId="4" borderId="0" xfId="0" applyNumberFormat="1" applyFill="1" applyBorder="1"/>
    <xf numFmtId="0" fontId="3" fillId="4" borderId="0" xfId="0" applyFont="1" applyFill="1" applyBorder="1"/>
    <xf numFmtId="0" fontId="0" fillId="4" borderId="17" xfId="0" applyFill="1" applyBorder="1"/>
    <xf numFmtId="0" fontId="0" fillId="4" borderId="12" xfId="0" applyFill="1" applyBorder="1" applyAlignment="1">
      <alignment horizontal="right" indent="1"/>
    </xf>
    <xf numFmtId="1" fontId="0" fillId="4" borderId="0" xfId="0" applyNumberFormat="1" applyFill="1" applyBorder="1"/>
    <xf numFmtId="166" fontId="0" fillId="4" borderId="15" xfId="0" applyNumberFormat="1" applyFill="1" applyBorder="1"/>
    <xf numFmtId="165" fontId="0" fillId="4" borderId="12" xfId="0" applyNumberFormat="1" applyFill="1" applyBorder="1"/>
    <xf numFmtId="165" fontId="0" fillId="4" borderId="0" xfId="0" applyNumberFormat="1" applyFill="1" applyBorder="1"/>
    <xf numFmtId="2" fontId="0" fillId="4" borderId="0" xfId="0" applyNumberFormat="1" applyFill="1" applyBorder="1"/>
    <xf numFmtId="0" fontId="0" fillId="4" borderId="19" xfId="0" applyFont="1" applyFill="1" applyBorder="1"/>
    <xf numFmtId="0" fontId="0" fillId="3" borderId="19" xfId="0" applyFont="1" applyFill="1" applyBorder="1"/>
    <xf numFmtId="0" fontId="3" fillId="4" borderId="19" xfId="0" applyFont="1" applyFill="1" applyBorder="1"/>
    <xf numFmtId="166" fontId="0" fillId="4" borderId="19" xfId="0" applyNumberFormat="1" applyFont="1" applyFill="1" applyBorder="1"/>
    <xf numFmtId="0" fontId="0" fillId="4" borderId="20" xfId="0" applyFont="1" applyFill="1" applyBorder="1"/>
    <xf numFmtId="166" fontId="0" fillId="6" borderId="18" xfId="0" applyNumberFormat="1" applyFill="1" applyBorder="1"/>
    <xf numFmtId="166" fontId="0" fillId="6" borderId="19" xfId="0" applyNumberFormat="1" applyFill="1" applyBorder="1"/>
    <xf numFmtId="0" fontId="0" fillId="6" borderId="19" xfId="0" applyFill="1" applyBorder="1"/>
    <xf numFmtId="164" fontId="0" fillId="6" borderId="19" xfId="0" applyNumberFormat="1" applyFill="1" applyBorder="1"/>
    <xf numFmtId="164" fontId="0" fillId="6" borderId="20" xfId="0" applyNumberFormat="1" applyFill="1" applyBorder="1"/>
    <xf numFmtId="167" fontId="0" fillId="6" borderId="10" xfId="0" applyNumberFormat="1" applyFill="1" applyBorder="1"/>
    <xf numFmtId="167" fontId="0" fillId="6" borderId="11" xfId="0" applyNumberFormat="1" applyFill="1" applyBorder="1"/>
    <xf numFmtId="0" fontId="0" fillId="6" borderId="12" xfId="0" applyFill="1" applyBorder="1"/>
    <xf numFmtId="0" fontId="0" fillId="6" borderId="13" xfId="0" applyFill="1" applyBorder="1"/>
    <xf numFmtId="164" fontId="0" fillId="6" borderId="12" xfId="0" applyNumberFormat="1" applyFill="1" applyBorder="1"/>
    <xf numFmtId="164" fontId="0" fillId="6" borderId="13" xfId="0" applyNumberFormat="1" applyFill="1" applyBorder="1"/>
    <xf numFmtId="164" fontId="0" fillId="6" borderId="14" xfId="0" applyNumberFormat="1" applyFill="1" applyBorder="1"/>
    <xf numFmtId="164" fontId="0" fillId="6" borderId="15" xfId="0" applyNumberFormat="1" applyFill="1" applyBorder="1"/>
    <xf numFmtId="167" fontId="0" fillId="6" borderId="16" xfId="0" applyNumberFormat="1" applyFill="1" applyBorder="1"/>
    <xf numFmtId="0" fontId="0" fillId="6" borderId="0" xfId="0" applyFill="1" applyBorder="1"/>
    <xf numFmtId="164" fontId="0" fillId="6" borderId="0" xfId="0" applyNumberFormat="1" applyFill="1" applyBorder="1"/>
    <xf numFmtId="164" fontId="0" fillId="6" borderId="17" xfId="0" applyNumberFormat="1" applyFill="1" applyBorder="1"/>
    <xf numFmtId="0" fontId="0" fillId="6" borderId="15" xfId="0" applyFill="1" applyBorder="1"/>
    <xf numFmtId="164" fontId="0" fillId="6" borderId="16" xfId="0" applyNumberFormat="1" applyFill="1" applyBorder="1"/>
    <xf numFmtId="0" fontId="0" fillId="6" borderId="11" xfId="0" applyFill="1" applyBorder="1"/>
    <xf numFmtId="166" fontId="0" fillId="6" borderId="13" xfId="0" applyNumberFormat="1" applyFill="1" applyBorder="1"/>
    <xf numFmtId="0" fontId="0" fillId="6" borderId="17" xfId="0" applyFill="1" applyBorder="1"/>
    <xf numFmtId="0" fontId="0" fillId="6" borderId="16" xfId="0" applyFill="1" applyBorder="1"/>
    <xf numFmtId="0" fontId="0" fillId="6" borderId="12" xfId="0" applyFill="1" applyBorder="1" applyAlignment="1">
      <alignment horizontal="right"/>
    </xf>
    <xf numFmtId="0" fontId="0" fillId="6" borderId="13" xfId="0" applyFill="1" applyBorder="1" applyAlignment="1">
      <alignment horizontal="right"/>
    </xf>
    <xf numFmtId="0" fontId="0" fillId="6" borderId="0" xfId="0" applyFill="1" applyBorder="1" applyAlignment="1">
      <alignment horizontal="right"/>
    </xf>
    <xf numFmtId="164" fontId="0" fillId="6" borderId="0" xfId="0" applyNumberFormat="1" applyFill="1" applyBorder="1" applyAlignment="1">
      <alignment horizontal="right"/>
    </xf>
    <xf numFmtId="0" fontId="0" fillId="6" borderId="19" xfId="0" applyFill="1" applyBorder="1" applyAlignment="1">
      <alignment horizontal="right"/>
    </xf>
    <xf numFmtId="0" fontId="0" fillId="6" borderId="10" xfId="0" applyFill="1" applyBorder="1"/>
    <xf numFmtId="9" fontId="0" fillId="6" borderId="13" xfId="0" applyNumberFormat="1" applyFill="1" applyBorder="1"/>
    <xf numFmtId="0" fontId="0" fillId="6" borderId="14" xfId="0" applyFill="1" applyBorder="1"/>
    <xf numFmtId="0" fontId="2" fillId="5" borderId="18" xfId="0" applyFont="1" applyFill="1" applyBorder="1"/>
    <xf numFmtId="0" fontId="2" fillId="5" borderId="16" xfId="0" applyFont="1" applyFill="1" applyBorder="1"/>
    <xf numFmtId="0" fontId="0" fillId="0" borderId="0" xfId="1" applyNumberFormat="1" applyFont="1"/>
    <xf numFmtId="0" fontId="0" fillId="0" borderId="0" xfId="0" applyAlignment="1">
      <alignment wrapText="1"/>
    </xf>
    <xf numFmtId="0" fontId="0" fillId="6" borderId="0" xfId="0" applyFill="1"/>
    <xf numFmtId="2" fontId="0" fillId="6" borderId="0" xfId="0" applyNumberFormat="1" applyFill="1"/>
    <xf numFmtId="0" fontId="0" fillId="0" borderId="0" xfId="0" applyBorder="1" applyAlignment="1">
      <alignment wrapText="1"/>
    </xf>
    <xf numFmtId="15" fontId="0" fillId="0" borderId="0" xfId="0" applyNumberFormat="1" applyBorder="1"/>
    <xf numFmtId="0" fontId="2" fillId="5" borderId="10" xfId="0" applyFont="1" applyFill="1" applyBorder="1" applyAlignment="1">
      <alignment horizontal="center" wrapText="1"/>
    </xf>
    <xf numFmtId="0" fontId="2" fillId="5" borderId="11" xfId="0" applyFont="1" applyFill="1" applyBorder="1" applyAlignment="1">
      <alignment horizontal="center" wrapText="1"/>
    </xf>
    <xf numFmtId="0" fontId="0" fillId="4" borderId="12" xfId="0" applyNumberFormat="1" applyFill="1" applyBorder="1"/>
    <xf numFmtId="0" fontId="0" fillId="4" borderId="14" xfId="0" applyNumberFormat="1" applyFill="1" applyBorder="1"/>
    <xf numFmtId="0" fontId="0" fillId="3" borderId="12" xfId="0" applyFill="1" applyBorder="1"/>
    <xf numFmtId="9" fontId="0" fillId="3" borderId="13" xfId="1" applyFont="1" applyFill="1" applyBorder="1"/>
    <xf numFmtId="0" fontId="0" fillId="3" borderId="14" xfId="0" applyFill="1" applyBorder="1"/>
    <xf numFmtId="0" fontId="0" fillId="3" borderId="15" xfId="0" applyFill="1" applyBorder="1"/>
    <xf numFmtId="164" fontId="0" fillId="4" borderId="15" xfId="0" applyNumberFormat="1" applyFill="1" applyBorder="1"/>
    <xf numFmtId="0" fontId="3" fillId="4" borderId="10" xfId="0" applyFont="1" applyFill="1" applyBorder="1"/>
    <xf numFmtId="0" fontId="3" fillId="4" borderId="16" xfId="0" applyFont="1" applyFill="1" applyBorder="1" applyAlignment="1">
      <alignment horizontal="left"/>
    </xf>
    <xf numFmtId="0" fontId="3" fillId="4" borderId="11" xfId="0" applyFont="1" applyFill="1" applyBorder="1" applyAlignment="1">
      <alignment horizontal="left"/>
    </xf>
    <xf numFmtId="0" fontId="0" fillId="4" borderId="0" xfId="0" applyFill="1" applyBorder="1" applyAlignment="1">
      <alignment horizontal="left"/>
    </xf>
    <xf numFmtId="0" fontId="0" fillId="4" borderId="13" xfId="0" applyFill="1" applyBorder="1" applyAlignment="1">
      <alignment horizontal="left"/>
    </xf>
    <xf numFmtId="2" fontId="4" fillId="4" borderId="13" xfId="0" applyNumberFormat="1" applyFont="1" applyFill="1" applyBorder="1"/>
    <xf numFmtId="0" fontId="0" fillId="3" borderId="12" xfId="0" applyFill="1" applyBorder="1" applyAlignment="1">
      <alignment horizontal="right"/>
    </xf>
    <xf numFmtId="0" fontId="0" fillId="3" borderId="14" xfId="0" applyFill="1" applyBorder="1" applyAlignment="1">
      <alignment horizontal="right"/>
    </xf>
    <xf numFmtId="168" fontId="5" fillId="4" borderId="0" xfId="0" applyNumberFormat="1" applyFont="1" applyFill="1" applyBorder="1" applyAlignment="1">
      <alignment horizontal="left"/>
    </xf>
    <xf numFmtId="168" fontId="5" fillId="4" borderId="13" xfId="0" applyNumberFormat="1" applyFont="1" applyFill="1" applyBorder="1" applyAlignment="1">
      <alignment horizontal="left"/>
    </xf>
    <xf numFmtId="168" fontId="5" fillId="4" borderId="17" xfId="0" applyNumberFormat="1" applyFont="1" applyFill="1" applyBorder="1" applyAlignment="1">
      <alignment horizontal="left"/>
    </xf>
    <xf numFmtId="168" fontId="5" fillId="4" borderId="15" xfId="0" applyNumberFormat="1" applyFont="1" applyFill="1" applyBorder="1" applyAlignment="1">
      <alignment horizontal="left"/>
    </xf>
    <xf numFmtId="0" fontId="5" fillId="4" borderId="12" xfId="0" applyFont="1" applyFill="1" applyBorder="1"/>
    <xf numFmtId="0" fontId="0" fillId="3" borderId="15" xfId="1" applyNumberFormat="1" applyFont="1" applyFill="1" applyBorder="1"/>
    <xf numFmtId="169" fontId="3" fillId="4" borderId="16" xfId="0" applyNumberFormat="1" applyFont="1" applyFill="1" applyBorder="1"/>
    <xf numFmtId="0" fontId="0" fillId="4" borderId="11" xfId="0" applyFill="1" applyBorder="1"/>
    <xf numFmtId="11" fontId="5" fillId="4" borderId="0" xfId="0" applyNumberFormat="1" applyFont="1" applyFill="1" applyBorder="1"/>
    <xf numFmtId="0" fontId="5" fillId="4" borderId="13" xfId="0" applyFont="1" applyFill="1" applyBorder="1"/>
    <xf numFmtId="0" fontId="5" fillId="4" borderId="14" xfId="0" applyFont="1" applyFill="1" applyBorder="1"/>
    <xf numFmtId="0" fontId="5" fillId="4" borderId="17" xfId="0" applyFont="1" applyFill="1" applyBorder="1"/>
    <xf numFmtId="0" fontId="5" fillId="4" borderId="15" xfId="0" applyFont="1" applyFill="1" applyBorder="1"/>
    <xf numFmtId="0" fontId="4" fillId="4" borderId="12" xfId="0" applyFont="1" applyFill="1" applyBorder="1" applyAlignment="1">
      <alignment horizontal="right"/>
    </xf>
    <xf numFmtId="0" fontId="0" fillId="4" borderId="14" xfId="0" applyFill="1" applyBorder="1" applyAlignment="1">
      <alignment horizontal="right"/>
    </xf>
    <xf numFmtId="169" fontId="0" fillId="4" borderId="0" xfId="0" applyNumberFormat="1" applyFill="1" applyBorder="1"/>
    <xf numFmtId="0" fontId="0" fillId="0" borderId="14" xfId="0" applyBorder="1"/>
    <xf numFmtId="0" fontId="0" fillId="0" borderId="15" xfId="0" applyBorder="1"/>
    <xf numFmtId="0" fontId="0" fillId="3" borderId="0" xfId="0" applyFill="1"/>
    <xf numFmtId="0" fontId="4" fillId="4" borderId="14" xfId="0" applyFont="1" applyFill="1" applyBorder="1"/>
    <xf numFmtId="167" fontId="4" fillId="4" borderId="15" xfId="0" applyNumberFormat="1" applyFont="1" applyFill="1" applyBorder="1"/>
    <xf numFmtId="0" fontId="3" fillId="3" borderId="0" xfId="0" applyFont="1" applyFill="1"/>
    <xf numFmtId="0" fontId="3" fillId="3" borderId="0" xfId="0" applyFont="1" applyFill="1" applyAlignment="1">
      <alignment wrapText="1"/>
    </xf>
    <xf numFmtId="0" fontId="0" fillId="0" borderId="0" xfId="0" quotePrefix="1" applyAlignment="1">
      <alignment wrapText="1"/>
    </xf>
    <xf numFmtId="0" fontId="3" fillId="4" borderId="0" xfId="0" applyFont="1" applyFill="1"/>
    <xf numFmtId="0" fontId="0" fillId="4" borderId="0" xfId="0" quotePrefix="1" applyFill="1" applyAlignment="1">
      <alignment wrapText="1"/>
    </xf>
    <xf numFmtId="0" fontId="0" fillId="4" borderId="0" xfId="0" applyFill="1" applyAlignment="1">
      <alignment wrapText="1"/>
    </xf>
    <xf numFmtId="0" fontId="0" fillId="4" borderId="0" xfId="0" applyFill="1"/>
    <xf numFmtId="9" fontId="0" fillId="0" borderId="0" xfId="0" applyNumberFormat="1"/>
    <xf numFmtId="1" fontId="0" fillId="0" borderId="0" xfId="0" applyNumberFormat="1"/>
    <xf numFmtId="0" fontId="3" fillId="0" borderId="0" xfId="0" applyFont="1"/>
    <xf numFmtId="0" fontId="0" fillId="0" borderId="0" xfId="0" applyFill="1"/>
    <xf numFmtId="9" fontId="0" fillId="0" borderId="0" xfId="0" applyNumberFormat="1" applyFill="1"/>
    <xf numFmtId="0" fontId="0" fillId="3" borderId="10" xfId="0" applyFill="1" applyBorder="1"/>
    <xf numFmtId="9" fontId="0" fillId="3" borderId="11" xfId="0" applyNumberFormat="1" applyFill="1" applyBorder="1"/>
    <xf numFmtId="2" fontId="0" fillId="3" borderId="15" xfId="0" applyNumberFormat="1" applyFill="1" applyBorder="1"/>
    <xf numFmtId="0" fontId="0" fillId="4" borderId="7" xfId="0" applyFill="1" applyBorder="1"/>
    <xf numFmtId="170" fontId="0" fillId="4" borderId="9" xfId="1" applyNumberFormat="1" applyFont="1" applyFill="1" applyBorder="1"/>
    <xf numFmtId="0" fontId="0" fillId="4" borderId="1" xfId="0" applyFill="1" applyBorder="1"/>
    <xf numFmtId="0" fontId="0" fillId="4" borderId="2" xfId="0" applyFill="1" applyBorder="1"/>
    <xf numFmtId="0" fontId="0" fillId="4" borderId="3" xfId="0" applyFill="1" applyBorder="1"/>
    <xf numFmtId="0" fontId="0" fillId="4" borderId="4" xfId="0" applyFill="1" applyBorder="1"/>
    <xf numFmtId="10" fontId="0" fillId="4" borderId="4" xfId="1" applyNumberFormat="1" applyFont="1" applyFill="1" applyBorder="1"/>
    <xf numFmtId="0" fontId="3" fillId="4" borderId="5" xfId="0" applyFont="1" applyFill="1" applyBorder="1"/>
    <xf numFmtId="1" fontId="3" fillId="4" borderId="6" xfId="0" applyNumberFormat="1" applyFont="1" applyFill="1" applyBorder="1"/>
    <xf numFmtId="0" fontId="0" fillId="0" borderId="14" xfId="0" applyBorder="1" applyAlignment="1">
      <alignment wrapText="1"/>
    </xf>
    <xf numFmtId="0" fontId="0" fillId="0" borderId="15" xfId="0" applyBorder="1" applyAlignment="1">
      <alignment wrapText="1"/>
    </xf>
    <xf numFmtId="0" fontId="3" fillId="0" borderId="21" xfId="0" applyFont="1" applyBorder="1" applyAlignment="1">
      <alignment vertical="center"/>
    </xf>
    <xf numFmtId="0" fontId="0" fillId="0" borderId="21" xfId="0" applyBorder="1" applyAlignment="1">
      <alignment vertical="center" wrapText="1"/>
    </xf>
    <xf numFmtId="0" fontId="0" fillId="0" borderId="21" xfId="0" applyBorder="1" applyAlignment="1">
      <alignment vertical="center"/>
    </xf>
    <xf numFmtId="0" fontId="0" fillId="0" borderId="21" xfId="0" applyBorder="1" applyAlignment="1">
      <alignment vertical="top" wrapText="1"/>
    </xf>
    <xf numFmtId="0" fontId="0" fillId="0" borderId="21" xfId="0" applyBorder="1" applyAlignment="1">
      <alignment wrapText="1"/>
    </xf>
    <xf numFmtId="0" fontId="9" fillId="0" borderId="21" xfId="0" applyFont="1" applyBorder="1" applyAlignment="1">
      <alignment horizontal="left" wrapText="1"/>
    </xf>
    <xf numFmtId="0" fontId="2" fillId="5" borderId="16" xfId="0" applyFont="1" applyFill="1" applyBorder="1" applyAlignment="1">
      <alignment horizontal="right"/>
    </xf>
    <xf numFmtId="0" fontId="2" fillId="5" borderId="11" xfId="0" applyFont="1" applyFill="1" applyBorder="1" applyAlignment="1">
      <alignment horizontal="right"/>
    </xf>
    <xf numFmtId="0" fontId="6" fillId="2" borderId="10" xfId="0" applyFont="1" applyFill="1" applyBorder="1" applyAlignment="1">
      <alignment horizontal="center"/>
    </xf>
    <xf numFmtId="0" fontId="0" fillId="0" borderId="0" xfId="0" applyFill="1" applyBorder="1"/>
    <xf numFmtId="0" fontId="3" fillId="7" borderId="21" xfId="0" applyFont="1" applyFill="1" applyBorder="1" applyAlignment="1">
      <alignment horizontal="center" vertical="top" wrapText="1"/>
    </xf>
    <xf numFmtId="0" fontId="8" fillId="7" borderId="10" xfId="0" applyFont="1" applyFill="1" applyBorder="1" applyAlignment="1">
      <alignment horizontal="center" wrapText="1"/>
    </xf>
    <xf numFmtId="0" fontId="8" fillId="7" borderId="11" xfId="0" applyFont="1" applyFill="1" applyBorder="1" applyAlignment="1">
      <alignment horizontal="center" wrapText="1"/>
    </xf>
    <xf numFmtId="0" fontId="3" fillId="7" borderId="14" xfId="0" applyFont="1" applyFill="1" applyBorder="1" applyAlignment="1">
      <alignment horizontal="center" wrapText="1"/>
    </xf>
    <xf numFmtId="0" fontId="3" fillId="7" borderId="15" xfId="0" applyFont="1" applyFill="1" applyBorder="1" applyAlignment="1">
      <alignment horizontal="center" wrapText="1"/>
    </xf>
    <xf numFmtId="0" fontId="7" fillId="0" borderId="12" xfId="2" applyFill="1" applyBorder="1" applyAlignment="1">
      <alignment horizontal="center" wrapText="1"/>
    </xf>
    <xf numFmtId="0" fontId="7" fillId="0" borderId="13" xfId="2" applyFill="1" applyBorder="1" applyAlignment="1">
      <alignment horizontal="center" wrapText="1"/>
    </xf>
    <xf numFmtId="0" fontId="0" fillId="0" borderId="12" xfId="0" applyBorder="1" applyAlignment="1">
      <alignment horizontal="center" wrapText="1"/>
    </xf>
    <xf numFmtId="0" fontId="0" fillId="0" borderId="13" xfId="0" applyBorder="1" applyAlignment="1">
      <alignment horizontal="center" wrapText="1"/>
    </xf>
    <xf numFmtId="0" fontId="3" fillId="7" borderId="21" xfId="0" applyFont="1" applyFill="1" applyBorder="1" applyAlignment="1">
      <alignment horizontal="center" wrapText="1"/>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5" borderId="10" xfId="0" applyFont="1" applyFill="1" applyBorder="1" applyAlignment="1">
      <alignment horizontal="center"/>
    </xf>
    <xf numFmtId="0" fontId="2" fillId="5" borderId="11" xfId="0" applyFont="1" applyFill="1" applyBorder="1" applyAlignment="1">
      <alignment horizontal="center"/>
    </xf>
    <xf numFmtId="0" fontId="2" fillId="2" borderId="10" xfId="0" applyFont="1" applyFill="1" applyBorder="1" applyAlignment="1">
      <alignment horizontal="center"/>
    </xf>
    <xf numFmtId="0" fontId="2" fillId="2" borderId="11" xfId="0" applyFont="1" applyFill="1" applyBorder="1" applyAlignment="1">
      <alignment horizontal="center"/>
    </xf>
  </cellXfs>
  <cellStyles count="3">
    <cellStyle name="Hyperlink" xfId="2" builtinId="8"/>
    <cellStyle name="Normal" xfId="0" builtinId="0"/>
    <cellStyle name="Percent" xfId="1" builtinId="5"/>
  </cellStyles>
  <dxfs count="23">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numFmt numFmtId="20" formatCode="d\-mmm\-yy"/>
    </dxf>
    <dxf>
      <border diagonalUp="0" diagonalDown="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numFmt numFmtId="20" formatCode="d\-mmm\-yy"/>
    </dxf>
    <dxf>
      <border diagonalUp="0" diagonalDown="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dxf>
    <dxf>
      <fill>
        <patternFill patternType="solid">
          <fgColor indexed="64"/>
          <bgColor theme="9" tint="0.79998168889431442"/>
        </patternFill>
      </fill>
    </dxf>
    <dxf>
      <fill>
        <patternFill patternType="solid">
          <fgColor indexed="64"/>
          <bgColor theme="9" tint="0.79998168889431442"/>
        </patternFill>
      </fill>
    </dxf>
    <dxf>
      <font>
        <strike val="0"/>
        <outline val="0"/>
        <shadow val="0"/>
        <u val="none"/>
        <vertAlign val="baseline"/>
        <sz val="11"/>
        <color theme="0"/>
        <name val="Aptos Narrow"/>
        <family val="2"/>
        <scheme val="minor"/>
      </font>
      <fill>
        <patternFill patternType="solid">
          <fgColor indexed="64"/>
          <bgColor theme="9" tint="-0.249977111117893"/>
        </patternFill>
      </fill>
      <alignment horizontal="center" vertical="bottom" textRotation="0" wrapText="0" indent="0" justifyLastLine="0" shrinkToFit="0" readingOrder="0"/>
    </dxf>
    <dxf>
      <numFmt numFmtId="1" formatCode="0"/>
    </dxf>
    <dxf>
      <fill>
        <patternFill>
          <bgColor theme="9" tint="0.79998168889431442"/>
        </patternFill>
      </fill>
    </dxf>
    <dxf>
      <fill>
        <patternFill>
          <bgColor theme="9" tint="0.79998168889431442"/>
        </patternFill>
      </fill>
    </dxf>
    <dxf>
      <font>
        <b/>
        <i val="0"/>
        <color theme="0"/>
      </font>
      <fill>
        <patternFill>
          <bgColor theme="9" tint="-0.499984740745262"/>
        </patternFill>
      </fill>
    </dxf>
  </dxfs>
  <tableStyles count="1" defaultTableStyle="TableStyleMedium2" defaultPivotStyle="PivotStyleLight16">
    <tableStyle name="Table Style 1" pivot="0" count="3" xr9:uid="{D9EB0E6F-F3BB-4368-9ED1-279342848C56}">
      <tableStyleElement type="headerRow" dxfId="22"/>
      <tableStyleElement type="firstRowStripe" dxfId="21"/>
      <tableStyleElement type="secondRowStripe" dxfId="2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38100" cap="rnd">
              <a:noFill/>
              <a:round/>
            </a:ln>
            <a:effectLst/>
          </c:spPr>
          <c:marker>
            <c:symbol val="circle"/>
            <c:size val="5"/>
            <c:spPr>
              <a:solidFill>
                <a:schemeClr val="accent1"/>
              </a:solidFill>
              <a:ln w="9525">
                <a:solidFill>
                  <a:schemeClr val="accent1"/>
                </a:solidFill>
              </a:ln>
              <a:effectLst/>
            </c:spPr>
          </c:marker>
          <c:yVal>
            <c:numRef>
              <c:f>'A1 Simple'!$C$10:$C$29</c:f>
              <c:numCache>
                <c:formatCode>0</c:formatCode>
                <c:ptCount val="20"/>
                <c:pt idx="0" formatCode="General">
                  <c:v>365</c:v>
                </c:pt>
                <c:pt idx="1">
                  <c:v>401.50000000000006</c:v>
                </c:pt>
                <c:pt idx="2">
                  <c:v>441.65000000000009</c:v>
                </c:pt>
                <c:pt idx="3">
                  <c:v>187.30271315420782</c:v>
                </c:pt>
                <c:pt idx="4">
                  <c:v>206.03298446962862</c:v>
                </c:pt>
                <c:pt idx="5">
                  <c:v>226.63628291659148</c:v>
                </c:pt>
                <c:pt idx="6">
                  <c:v>249.29991120825065</c:v>
                </c:pt>
                <c:pt idx="7">
                  <c:v>274.22990232907574</c:v>
                </c:pt>
                <c:pt idx="8">
                  <c:v>116.30024846428006</c:v>
                </c:pt>
                <c:pt idx="9">
                  <c:v>127.93027331070807</c:v>
                </c:pt>
                <c:pt idx="10">
                  <c:v>140.72330064177891</c:v>
                </c:pt>
                <c:pt idx="11">
                  <c:v>154.7956307059568</c:v>
                </c:pt>
                <c:pt idx="12">
                  <c:v>170.2751937765525</c:v>
                </c:pt>
                <c:pt idx="13">
                  <c:v>187.30271315420777</c:v>
                </c:pt>
                <c:pt idx="14">
                  <c:v>206.03298446962856</c:v>
                </c:pt>
                <c:pt idx="15">
                  <c:v>226.63628291659143</c:v>
                </c:pt>
                <c:pt idx="16">
                  <c:v>249.29991120825059</c:v>
                </c:pt>
                <c:pt idx="17">
                  <c:v>274.22990232907568</c:v>
                </c:pt>
                <c:pt idx="18">
                  <c:v>301.65289256198326</c:v>
                </c:pt>
                <c:pt idx="19">
                  <c:v>127.93027331070805</c:v>
                </c:pt>
              </c:numCache>
            </c:numRef>
          </c:yVal>
          <c:smooth val="0"/>
          <c:extLst>
            <c:ext xmlns:c16="http://schemas.microsoft.com/office/drawing/2014/chart" uri="{C3380CC4-5D6E-409C-BE32-E72D297353CC}">
              <c16:uniqueId val="{00000000-DF80-459E-BB63-658036F33DAA}"/>
            </c:ext>
          </c:extLst>
        </c:ser>
        <c:dLbls>
          <c:showLegendKey val="0"/>
          <c:showVal val="0"/>
          <c:showCatName val="0"/>
          <c:showSerName val="0"/>
          <c:showPercent val="0"/>
          <c:showBubbleSize val="0"/>
        </c:dLbls>
        <c:axId val="1115492896"/>
        <c:axId val="1115490496"/>
      </c:scatterChart>
      <c:valAx>
        <c:axId val="111549289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Calibration Number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5490496"/>
        <c:crosses val="autoZero"/>
        <c:crossBetween val="midCat"/>
      </c:valAx>
      <c:valAx>
        <c:axId val="11154904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New Interval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549289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yVal>
            <c:numRef>
              <c:f>'A2 Incremental'!$D$9:$D$27</c:f>
              <c:numCache>
                <c:formatCode>General</c:formatCode>
                <c:ptCount val="19"/>
                <c:pt idx="0">
                  <c:v>402</c:v>
                </c:pt>
                <c:pt idx="1">
                  <c:v>221</c:v>
                </c:pt>
                <c:pt idx="2">
                  <c:v>227</c:v>
                </c:pt>
                <c:pt idx="3">
                  <c:v>233</c:v>
                </c:pt>
                <c:pt idx="4">
                  <c:v>239</c:v>
                </c:pt>
                <c:pt idx="5">
                  <c:v>245</c:v>
                </c:pt>
                <c:pt idx="6">
                  <c:v>217</c:v>
                </c:pt>
                <c:pt idx="7">
                  <c:v>193</c:v>
                </c:pt>
                <c:pt idx="8">
                  <c:v>194</c:v>
                </c:pt>
                <c:pt idx="9">
                  <c:v>195</c:v>
                </c:pt>
                <c:pt idx="10">
                  <c:v>196</c:v>
                </c:pt>
                <c:pt idx="11">
                  <c:v>197</c:v>
                </c:pt>
                <c:pt idx="12">
                  <c:v>198</c:v>
                </c:pt>
                <c:pt idx="13">
                  <c:v>199</c:v>
                </c:pt>
                <c:pt idx="14">
                  <c:v>200</c:v>
                </c:pt>
                <c:pt idx="15">
                  <c:v>201</c:v>
                </c:pt>
                <c:pt idx="16">
                  <c:v>202</c:v>
                </c:pt>
                <c:pt idx="17">
                  <c:v>196</c:v>
                </c:pt>
                <c:pt idx="18">
                  <c:v>196</c:v>
                </c:pt>
              </c:numCache>
            </c:numRef>
          </c:yVal>
          <c:smooth val="0"/>
          <c:extLst>
            <c:ext xmlns:c16="http://schemas.microsoft.com/office/drawing/2014/chart" uri="{C3380CC4-5D6E-409C-BE32-E72D297353CC}">
              <c16:uniqueId val="{00000000-D9AE-4B7F-B906-71F491A5CBAC}"/>
            </c:ext>
          </c:extLst>
        </c:ser>
        <c:dLbls>
          <c:showLegendKey val="0"/>
          <c:showVal val="0"/>
          <c:showCatName val="0"/>
          <c:showSerName val="0"/>
          <c:showPercent val="0"/>
          <c:showBubbleSize val="0"/>
        </c:dLbls>
        <c:axId val="1115492896"/>
        <c:axId val="1115490496"/>
      </c:scatterChart>
      <c:valAx>
        <c:axId val="111549289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Calibration Number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5490496"/>
        <c:crosses val="autoZero"/>
        <c:crossBetween val="midCat"/>
      </c:valAx>
      <c:valAx>
        <c:axId val="11154904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New Interval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5492896"/>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S2 Fit Models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Observed</c:v>
          </c:tx>
          <c:spPr>
            <a:ln w="38100" cap="rnd">
              <a:noFill/>
              <a:round/>
            </a:ln>
            <a:effectLst/>
          </c:spPr>
          <c:marker>
            <c:symbol val="circle"/>
            <c:size val="6"/>
            <c:spPr>
              <a:solidFill>
                <a:schemeClr val="accent1"/>
              </a:solidFill>
              <a:ln w="15875">
                <a:solidFill>
                  <a:schemeClr val="accent1"/>
                </a:solidFill>
              </a:ln>
              <a:effectLst/>
            </c:spPr>
          </c:marker>
          <c:xVal>
            <c:numRef>
              <c:f>'S2 Binomial'!$B$6:$B$13</c:f>
              <c:numCache>
                <c:formatCode>General</c:formatCode>
                <c:ptCount val="8"/>
                <c:pt idx="0">
                  <c:v>21</c:v>
                </c:pt>
                <c:pt idx="1">
                  <c:v>42</c:v>
                </c:pt>
                <c:pt idx="2">
                  <c:v>63</c:v>
                </c:pt>
                <c:pt idx="3">
                  <c:v>84</c:v>
                </c:pt>
                <c:pt idx="4">
                  <c:v>140</c:v>
                </c:pt>
                <c:pt idx="5">
                  <c:v>189</c:v>
                </c:pt>
                <c:pt idx="6">
                  <c:v>269.5</c:v>
                </c:pt>
                <c:pt idx="7">
                  <c:v>346.5</c:v>
                </c:pt>
              </c:numCache>
            </c:numRef>
          </c:xVal>
          <c:yVal>
            <c:numRef>
              <c:f>'S2 Binomial'!$C$6:$C$13</c:f>
              <c:numCache>
                <c:formatCode>General</c:formatCode>
                <c:ptCount val="8"/>
                <c:pt idx="0">
                  <c:v>0.999</c:v>
                </c:pt>
                <c:pt idx="1">
                  <c:v>0.83330000000000004</c:v>
                </c:pt>
                <c:pt idx="2">
                  <c:v>0.64290000000000003</c:v>
                </c:pt>
                <c:pt idx="3">
                  <c:v>0.61539999999999995</c:v>
                </c:pt>
                <c:pt idx="4">
                  <c:v>0.54549999999999998</c:v>
                </c:pt>
                <c:pt idx="5">
                  <c:v>0.40820000000000001</c:v>
                </c:pt>
                <c:pt idx="6">
                  <c:v>0.5</c:v>
                </c:pt>
                <c:pt idx="7">
                  <c:v>0.33329999999999999</c:v>
                </c:pt>
              </c:numCache>
            </c:numRef>
          </c:yVal>
          <c:smooth val="0"/>
          <c:extLst>
            <c:ext xmlns:c16="http://schemas.microsoft.com/office/drawing/2014/chart" uri="{C3380CC4-5D6E-409C-BE32-E72D297353CC}">
              <c16:uniqueId val="{00000000-1151-47F2-8BCB-6770564E3E5E}"/>
            </c:ext>
          </c:extLst>
        </c:ser>
        <c:dLbls>
          <c:showLegendKey val="0"/>
          <c:showVal val="0"/>
          <c:showCatName val="0"/>
          <c:showSerName val="0"/>
          <c:showPercent val="0"/>
          <c:showBubbleSize val="0"/>
        </c:dLbls>
        <c:axId val="531434816"/>
        <c:axId val="531433856"/>
      </c:scatterChart>
      <c:scatterChart>
        <c:scatterStyle val="smoothMarker"/>
        <c:varyColors val="0"/>
        <c:ser>
          <c:idx val="2"/>
          <c:order val="1"/>
          <c:tx>
            <c:v>Target</c:v>
          </c:tx>
          <c:spPr>
            <a:ln w="19050" cap="rnd">
              <a:solidFill>
                <a:schemeClr val="accent3"/>
              </a:solidFill>
              <a:prstDash val="dash"/>
              <a:round/>
            </a:ln>
            <a:effectLst/>
          </c:spPr>
          <c:marker>
            <c:symbol val="none"/>
          </c:marker>
          <c:xVal>
            <c:numRef>
              <c:f>'S2 Binomial'!$F$19:$F$20</c:f>
              <c:numCache>
                <c:formatCode>General</c:formatCode>
                <c:ptCount val="2"/>
                <c:pt idx="0">
                  <c:v>0</c:v>
                </c:pt>
                <c:pt idx="1">
                  <c:v>346.5</c:v>
                </c:pt>
              </c:numCache>
            </c:numRef>
          </c:xVal>
          <c:yVal>
            <c:numRef>
              <c:f>'S2 Binomial'!$G$19:$G$20</c:f>
              <c:numCache>
                <c:formatCode>0%</c:formatCode>
                <c:ptCount val="2"/>
                <c:pt idx="0">
                  <c:v>0.8</c:v>
                </c:pt>
                <c:pt idx="1">
                  <c:v>0.8</c:v>
                </c:pt>
              </c:numCache>
            </c:numRef>
          </c:yVal>
          <c:smooth val="1"/>
          <c:extLst>
            <c:ext xmlns:c16="http://schemas.microsoft.com/office/drawing/2014/chart" uri="{C3380CC4-5D6E-409C-BE32-E72D297353CC}">
              <c16:uniqueId val="{00000002-1151-47F2-8BCB-6770564E3E5E}"/>
            </c:ext>
          </c:extLst>
        </c:ser>
        <c:ser>
          <c:idx val="1"/>
          <c:order val="2"/>
          <c:tx>
            <c:v>Exponential</c:v>
          </c:tx>
          <c:spPr>
            <a:ln w="19050" cap="rnd">
              <a:solidFill>
                <a:schemeClr val="accent2"/>
              </a:solidFill>
              <a:round/>
            </a:ln>
            <a:effectLst/>
          </c:spPr>
          <c:marker>
            <c:symbol val="none"/>
          </c:marker>
          <c:xVal>
            <c:numRef>
              <c:f>'S2 Binomial'!$I$20:$I$39</c:f>
              <c:numCache>
                <c:formatCode>0.000</c:formatCode>
                <c:ptCount val="20"/>
                <c:pt idx="0">
                  <c:v>0</c:v>
                </c:pt>
                <c:pt idx="1">
                  <c:v>18.236842105263158</c:v>
                </c:pt>
                <c:pt idx="2">
                  <c:v>36.473684210526315</c:v>
                </c:pt>
                <c:pt idx="3">
                  <c:v>54.710526315789473</c:v>
                </c:pt>
                <c:pt idx="4">
                  <c:v>72.94736842105263</c:v>
                </c:pt>
                <c:pt idx="5">
                  <c:v>91.18421052631578</c:v>
                </c:pt>
                <c:pt idx="6">
                  <c:v>109.42105263157893</c:v>
                </c:pt>
                <c:pt idx="7">
                  <c:v>127.65789473684208</c:v>
                </c:pt>
                <c:pt idx="8">
                  <c:v>145.89473684210523</c:v>
                </c:pt>
                <c:pt idx="9">
                  <c:v>164.13157894736838</c:v>
                </c:pt>
                <c:pt idx="10">
                  <c:v>182.36842105263153</c:v>
                </c:pt>
                <c:pt idx="11">
                  <c:v>200.60526315789468</c:v>
                </c:pt>
                <c:pt idx="12">
                  <c:v>218.84210526315783</c:v>
                </c:pt>
                <c:pt idx="13">
                  <c:v>237.07894736842098</c:v>
                </c:pt>
                <c:pt idx="14">
                  <c:v>255.31578947368413</c:v>
                </c:pt>
                <c:pt idx="15">
                  <c:v>273.55263157894728</c:v>
                </c:pt>
                <c:pt idx="16">
                  <c:v>291.78947368421046</c:v>
                </c:pt>
                <c:pt idx="17">
                  <c:v>310.02631578947364</c:v>
                </c:pt>
                <c:pt idx="18">
                  <c:v>328.26315789473682</c:v>
                </c:pt>
                <c:pt idx="19">
                  <c:v>346.5</c:v>
                </c:pt>
              </c:numCache>
            </c:numRef>
          </c:xVal>
          <c:yVal>
            <c:numRef>
              <c:f>'S2 Binomial'!$J$20:$J$39</c:f>
              <c:numCache>
                <c:formatCode>0.000</c:formatCode>
                <c:ptCount val="20"/>
                <c:pt idx="0">
                  <c:v>1</c:v>
                </c:pt>
                <c:pt idx="1">
                  <c:v>0.92632925081277617</c:v>
                </c:pt>
                <c:pt idx="2">
                  <c:v>0.85808588091135918</c:v>
                </c:pt>
                <c:pt idx="3">
                  <c:v>0.79487005119764043</c:v>
                </c:pt>
                <c:pt idx="4">
                  <c:v>0.73631137901942334</c:v>
                </c:pt>
                <c:pt idx="5">
                  <c:v>0.68206676809198452</c:v>
                </c:pt>
                <c:pt idx="6">
                  <c:v>0.63181839829093966</c:v>
                </c:pt>
                <c:pt idx="7">
                  <c:v>0.58527186353857441</c:v>
                </c:pt>
                <c:pt idx="8">
                  <c:v>0.54215444687348502</c:v>
                </c:pt>
                <c:pt idx="9">
                  <c:v>0.50221352259713048</c:v>
                </c:pt>
                <c:pt idx="10">
                  <c:v>0.4652150761354451</c:v>
                </c:pt>
                <c:pt idx="11">
                  <c:v>0.43094233294335554</c:v>
                </c:pt>
                <c:pt idx="12">
                  <c:v>0.39919448841892852</c:v>
                </c:pt>
                <c:pt idx="13">
                  <c:v>0.36978553138569548</c:v>
                </c:pt>
                <c:pt idx="14">
                  <c:v>0.34254315424991566</c:v>
                </c:pt>
                <c:pt idx="15">
                  <c:v>0.31730774344736962</c:v>
                </c:pt>
                <c:pt idx="16">
                  <c:v>0.29393144426469442</c:v>
                </c:pt>
                <c:pt idx="17">
                  <c:v>0.27227729455603167</c:v>
                </c:pt>
                <c:pt idx="18">
                  <c:v>0.25221842227941837</c:v>
                </c:pt>
                <c:pt idx="19">
                  <c:v>0.23363730215127401</c:v>
                </c:pt>
              </c:numCache>
            </c:numRef>
          </c:yVal>
          <c:smooth val="1"/>
          <c:extLst>
            <c:ext xmlns:c16="http://schemas.microsoft.com/office/drawing/2014/chart" uri="{C3380CC4-5D6E-409C-BE32-E72D297353CC}">
              <c16:uniqueId val="{00000001-1151-47F2-8BCB-6770564E3E5E}"/>
            </c:ext>
          </c:extLst>
        </c:ser>
        <c:ser>
          <c:idx val="3"/>
          <c:order val="3"/>
          <c:tx>
            <c:v>Mixed Exponential</c:v>
          </c:tx>
          <c:spPr>
            <a:ln w="19050" cap="rnd">
              <a:solidFill>
                <a:schemeClr val="accent4"/>
              </a:solidFill>
              <a:round/>
            </a:ln>
            <a:effectLst/>
          </c:spPr>
          <c:marker>
            <c:symbol val="none"/>
          </c:marker>
          <c:xVal>
            <c:numRef>
              <c:f>'S2 Binomial'!$I$20:$I$39</c:f>
              <c:numCache>
                <c:formatCode>0.000</c:formatCode>
                <c:ptCount val="20"/>
                <c:pt idx="0">
                  <c:v>0</c:v>
                </c:pt>
                <c:pt idx="1">
                  <c:v>18.236842105263158</c:v>
                </c:pt>
                <c:pt idx="2">
                  <c:v>36.473684210526315</c:v>
                </c:pt>
                <c:pt idx="3">
                  <c:v>54.710526315789473</c:v>
                </c:pt>
                <c:pt idx="4">
                  <c:v>72.94736842105263</c:v>
                </c:pt>
                <c:pt idx="5">
                  <c:v>91.18421052631578</c:v>
                </c:pt>
                <c:pt idx="6">
                  <c:v>109.42105263157893</c:v>
                </c:pt>
                <c:pt idx="7">
                  <c:v>127.65789473684208</c:v>
                </c:pt>
                <c:pt idx="8">
                  <c:v>145.89473684210523</c:v>
                </c:pt>
                <c:pt idx="9">
                  <c:v>164.13157894736838</c:v>
                </c:pt>
                <c:pt idx="10">
                  <c:v>182.36842105263153</c:v>
                </c:pt>
                <c:pt idx="11">
                  <c:v>200.60526315789468</c:v>
                </c:pt>
                <c:pt idx="12">
                  <c:v>218.84210526315783</c:v>
                </c:pt>
                <c:pt idx="13">
                  <c:v>237.07894736842098</c:v>
                </c:pt>
                <c:pt idx="14">
                  <c:v>255.31578947368413</c:v>
                </c:pt>
                <c:pt idx="15">
                  <c:v>273.55263157894728</c:v>
                </c:pt>
                <c:pt idx="16">
                  <c:v>291.78947368421046</c:v>
                </c:pt>
                <c:pt idx="17">
                  <c:v>310.02631578947364</c:v>
                </c:pt>
                <c:pt idx="18">
                  <c:v>328.26315789473682</c:v>
                </c:pt>
                <c:pt idx="19">
                  <c:v>346.5</c:v>
                </c:pt>
              </c:numCache>
            </c:numRef>
          </c:xVal>
          <c:yVal>
            <c:numRef>
              <c:f>'S2 Binomial'!$L$20:$L$39</c:f>
              <c:numCache>
                <c:formatCode>0.000</c:formatCode>
                <c:ptCount val="20"/>
                <c:pt idx="0">
                  <c:v>1</c:v>
                </c:pt>
                <c:pt idx="1">
                  <c:v>0.82945480118948722</c:v>
                </c:pt>
                <c:pt idx="2">
                  <c:v>0.73243890451909721</c:v>
                </c:pt>
                <c:pt idx="3">
                  <c:v>0.66715994761779085</c:v>
                </c:pt>
                <c:pt idx="4">
                  <c:v>0.61910881841741483</c:v>
                </c:pt>
                <c:pt idx="5">
                  <c:v>0.58169027042942489</c:v>
                </c:pt>
                <c:pt idx="6">
                  <c:v>0.55140156752465963</c:v>
                </c:pt>
                <c:pt idx="7">
                  <c:v>0.52618091848022874</c:v>
                </c:pt>
                <c:pt idx="8">
                  <c:v>0.50472218768575094</c:v>
                </c:pt>
                <c:pt idx="9">
                  <c:v>0.48615091501624397</c:v>
                </c:pt>
                <c:pt idx="10">
                  <c:v>0.46985581414090394</c:v>
                </c:pt>
                <c:pt idx="11">
                  <c:v>0.45539448144477573</c:v>
                </c:pt>
                <c:pt idx="12">
                  <c:v>0.44243747770574299</c:v>
                </c:pt>
                <c:pt idx="13">
                  <c:v>0.43073356075116642</c:v>
                </c:pt>
                <c:pt idx="14">
                  <c:v>0.42008720249060932</c:v>
                </c:pt>
                <c:pt idx="15">
                  <c:v>0.4103435590871074</c:v>
                </c:pt>
                <c:pt idx="16">
                  <c:v>0.40137813370969372</c:v>
                </c:pt>
                <c:pt idx="17">
                  <c:v>0.39308948937495569</c:v>
                </c:pt>
                <c:pt idx="18">
                  <c:v>0.38539399992747392</c:v>
                </c:pt>
                <c:pt idx="19">
                  <c:v>0.37822199644034588</c:v>
                </c:pt>
              </c:numCache>
            </c:numRef>
          </c:yVal>
          <c:smooth val="1"/>
          <c:extLst>
            <c:ext xmlns:c16="http://schemas.microsoft.com/office/drawing/2014/chart" uri="{C3380CC4-5D6E-409C-BE32-E72D297353CC}">
              <c16:uniqueId val="{00000000-3875-4E54-95C8-E431D620A539}"/>
            </c:ext>
          </c:extLst>
        </c:ser>
        <c:ser>
          <c:idx val="4"/>
          <c:order val="4"/>
          <c:tx>
            <c:v>Weibull</c:v>
          </c:tx>
          <c:spPr>
            <a:ln w="19050" cap="rnd">
              <a:solidFill>
                <a:schemeClr val="accent5"/>
              </a:solidFill>
              <a:round/>
            </a:ln>
            <a:effectLst/>
          </c:spPr>
          <c:marker>
            <c:symbol val="none"/>
          </c:marker>
          <c:xVal>
            <c:numRef>
              <c:f>'S2 Binomial'!$I$20:$I$39</c:f>
              <c:numCache>
                <c:formatCode>0.000</c:formatCode>
                <c:ptCount val="20"/>
                <c:pt idx="0">
                  <c:v>0</c:v>
                </c:pt>
                <c:pt idx="1">
                  <c:v>18.236842105263158</c:v>
                </c:pt>
                <c:pt idx="2">
                  <c:v>36.473684210526315</c:v>
                </c:pt>
                <c:pt idx="3">
                  <c:v>54.710526315789473</c:v>
                </c:pt>
                <c:pt idx="4">
                  <c:v>72.94736842105263</c:v>
                </c:pt>
                <c:pt idx="5">
                  <c:v>91.18421052631578</c:v>
                </c:pt>
                <c:pt idx="6">
                  <c:v>109.42105263157893</c:v>
                </c:pt>
                <c:pt idx="7">
                  <c:v>127.65789473684208</c:v>
                </c:pt>
                <c:pt idx="8">
                  <c:v>145.89473684210523</c:v>
                </c:pt>
                <c:pt idx="9">
                  <c:v>164.13157894736838</c:v>
                </c:pt>
                <c:pt idx="10">
                  <c:v>182.36842105263153</c:v>
                </c:pt>
                <c:pt idx="11">
                  <c:v>200.60526315789468</c:v>
                </c:pt>
                <c:pt idx="12">
                  <c:v>218.84210526315783</c:v>
                </c:pt>
                <c:pt idx="13">
                  <c:v>237.07894736842098</c:v>
                </c:pt>
                <c:pt idx="14">
                  <c:v>255.31578947368413</c:v>
                </c:pt>
                <c:pt idx="15">
                  <c:v>273.55263157894728</c:v>
                </c:pt>
                <c:pt idx="16">
                  <c:v>291.78947368421046</c:v>
                </c:pt>
                <c:pt idx="17">
                  <c:v>310.02631578947364</c:v>
                </c:pt>
                <c:pt idx="18">
                  <c:v>328.26315789473682</c:v>
                </c:pt>
                <c:pt idx="19">
                  <c:v>346.5</c:v>
                </c:pt>
              </c:numCache>
            </c:numRef>
          </c:xVal>
          <c:yVal>
            <c:numRef>
              <c:f>'S2 Binomial'!$O$20:$O$39</c:f>
              <c:numCache>
                <c:formatCode>0.000</c:formatCode>
                <c:ptCount val="20"/>
                <c:pt idx="0">
                  <c:v>1</c:v>
                </c:pt>
                <c:pt idx="1">
                  <c:v>0.8136780060406209</c:v>
                </c:pt>
                <c:pt idx="2">
                  <c:v>0.7370652623573356</c:v>
                </c:pt>
                <c:pt idx="3">
                  <c:v>0.68136725501322604</c:v>
                </c:pt>
                <c:pt idx="4">
                  <c:v>0.63674017653392789</c:v>
                </c:pt>
                <c:pt idx="5">
                  <c:v>0.59925386185877461</c:v>
                </c:pt>
                <c:pt idx="6">
                  <c:v>0.56685435543074192</c:v>
                </c:pt>
                <c:pt idx="7">
                  <c:v>0.53830551288409101</c:v>
                </c:pt>
                <c:pt idx="8">
                  <c:v>0.51279434839931193</c:v>
                </c:pt>
                <c:pt idx="9">
                  <c:v>0.48975232364705368</c:v>
                </c:pt>
                <c:pt idx="10">
                  <c:v>0.46876348278015273</c:v>
                </c:pt>
                <c:pt idx="11">
                  <c:v>0.44951276750885477</c:v>
                </c:pt>
                <c:pt idx="12">
                  <c:v>0.43175489334086659</c:v>
                </c:pt>
                <c:pt idx="13">
                  <c:v>0.4152945840182925</c:v>
                </c:pt>
                <c:pt idx="14">
                  <c:v>0.39997347013887447</c:v>
                </c:pt>
                <c:pt idx="15">
                  <c:v>0.38566109348883093</c:v>
                </c:pt>
                <c:pt idx="16">
                  <c:v>0.37224854516846817</c:v>
                </c:pt>
                <c:pt idx="17">
                  <c:v>0.35964385178478786</c:v>
                </c:pt>
                <c:pt idx="18">
                  <c:v>0.34776855608734769</c:v>
                </c:pt>
                <c:pt idx="19">
                  <c:v>0.3365551345461118</c:v>
                </c:pt>
              </c:numCache>
            </c:numRef>
          </c:yVal>
          <c:smooth val="1"/>
          <c:extLst>
            <c:ext xmlns:c16="http://schemas.microsoft.com/office/drawing/2014/chart" uri="{C3380CC4-5D6E-409C-BE32-E72D297353CC}">
              <c16:uniqueId val="{00000000-75B4-454F-9609-EC8C7E2EC1A5}"/>
            </c:ext>
          </c:extLst>
        </c:ser>
        <c:ser>
          <c:idx val="5"/>
          <c:order val="5"/>
          <c:tx>
            <c:v>Random Walk</c:v>
          </c:tx>
          <c:spPr>
            <a:ln w="19050" cap="rnd">
              <a:solidFill>
                <a:schemeClr val="accent6"/>
              </a:solidFill>
              <a:round/>
            </a:ln>
            <a:effectLst/>
          </c:spPr>
          <c:marker>
            <c:symbol val="none"/>
          </c:marker>
          <c:xVal>
            <c:numRef>
              <c:f>'S2 Binomial'!$I$20:$I$39</c:f>
              <c:numCache>
                <c:formatCode>0.000</c:formatCode>
                <c:ptCount val="20"/>
                <c:pt idx="0">
                  <c:v>0</c:v>
                </c:pt>
                <c:pt idx="1">
                  <c:v>18.236842105263158</c:v>
                </c:pt>
                <c:pt idx="2">
                  <c:v>36.473684210526315</c:v>
                </c:pt>
                <c:pt idx="3">
                  <c:v>54.710526315789473</c:v>
                </c:pt>
                <c:pt idx="4">
                  <c:v>72.94736842105263</c:v>
                </c:pt>
                <c:pt idx="5">
                  <c:v>91.18421052631578</c:v>
                </c:pt>
                <c:pt idx="6">
                  <c:v>109.42105263157893</c:v>
                </c:pt>
                <c:pt idx="7">
                  <c:v>127.65789473684208</c:v>
                </c:pt>
                <c:pt idx="8">
                  <c:v>145.89473684210523</c:v>
                </c:pt>
                <c:pt idx="9">
                  <c:v>164.13157894736838</c:v>
                </c:pt>
                <c:pt idx="10">
                  <c:v>182.36842105263153</c:v>
                </c:pt>
                <c:pt idx="11">
                  <c:v>200.60526315789468</c:v>
                </c:pt>
                <c:pt idx="12">
                  <c:v>218.84210526315783</c:v>
                </c:pt>
                <c:pt idx="13">
                  <c:v>237.07894736842098</c:v>
                </c:pt>
                <c:pt idx="14">
                  <c:v>255.31578947368413</c:v>
                </c:pt>
                <c:pt idx="15">
                  <c:v>273.55263157894728</c:v>
                </c:pt>
                <c:pt idx="16">
                  <c:v>291.78947368421046</c:v>
                </c:pt>
                <c:pt idx="17">
                  <c:v>310.02631578947364</c:v>
                </c:pt>
                <c:pt idx="18">
                  <c:v>328.26315789473682</c:v>
                </c:pt>
                <c:pt idx="19">
                  <c:v>346.5</c:v>
                </c:pt>
              </c:numCache>
            </c:numRef>
          </c:xVal>
          <c:yVal>
            <c:numRef>
              <c:f>'S2 Binomial'!$R$20:$R$39</c:f>
              <c:numCache>
                <c:formatCode>0.000</c:formatCode>
                <c:ptCount val="20"/>
                <c:pt idx="0">
                  <c:v>0.84441671491079973</c:v>
                </c:pt>
                <c:pt idx="1">
                  <c:v>0.77347295778074732</c:v>
                </c:pt>
                <c:pt idx="2">
                  <c:v>0.71588458625742124</c:v>
                </c:pt>
                <c:pt idx="3">
                  <c:v>0.66871225704725124</c:v>
                </c:pt>
                <c:pt idx="4">
                  <c:v>0.62941412479801007</c:v>
                </c:pt>
                <c:pt idx="5">
                  <c:v>0.59612457056361046</c:v>
                </c:pt>
                <c:pt idx="6">
                  <c:v>0.56750317488570956</c:v>
                </c:pt>
                <c:pt idx="7">
                  <c:v>0.54257736122979239</c:v>
                </c:pt>
                <c:pt idx="8">
                  <c:v>0.52062877698197796</c:v>
                </c:pt>
                <c:pt idx="9">
                  <c:v>0.50111659977469936</c:v>
                </c:pt>
                <c:pt idx="10">
                  <c:v>0.48362614507248525</c:v>
                </c:pt>
                <c:pt idx="11">
                  <c:v>0.46783405184775573</c:v>
                </c:pt>
                <c:pt idx="12">
                  <c:v>0.4534842999566131</c:v>
                </c:pt>
                <c:pt idx="13">
                  <c:v>0.44037138490871741</c:v>
                </c:pt>
                <c:pt idx="14">
                  <c:v>0.42832829951794871</c:v>
                </c:pt>
                <c:pt idx="15">
                  <c:v>0.41721780126307517</c:v>
                </c:pt>
                <c:pt idx="16">
                  <c:v>0.406925965292535</c:v>
                </c:pt>
                <c:pt idx="17">
                  <c:v>0.39735735431724173</c:v>
                </c:pt>
                <c:pt idx="18">
                  <c:v>0.38843135051977873</c:v>
                </c:pt>
                <c:pt idx="19">
                  <c:v>0.38007933497192736</c:v>
                </c:pt>
              </c:numCache>
            </c:numRef>
          </c:yVal>
          <c:smooth val="1"/>
          <c:extLst>
            <c:ext xmlns:c16="http://schemas.microsoft.com/office/drawing/2014/chart" uri="{C3380CC4-5D6E-409C-BE32-E72D297353CC}">
              <c16:uniqueId val="{00000001-75B4-454F-9609-EC8C7E2EC1A5}"/>
            </c:ext>
          </c:extLst>
        </c:ser>
        <c:ser>
          <c:idx val="6"/>
          <c:order val="6"/>
          <c:tx>
            <c:v>Restricted Walk</c:v>
          </c:tx>
          <c:spPr>
            <a:ln w="19050" cap="rnd">
              <a:solidFill>
                <a:schemeClr val="accent1">
                  <a:lumMod val="60000"/>
                </a:schemeClr>
              </a:solidFill>
              <a:round/>
            </a:ln>
            <a:effectLst/>
          </c:spPr>
          <c:marker>
            <c:symbol val="none"/>
          </c:marker>
          <c:xVal>
            <c:numRef>
              <c:f>'S2 Binomial'!$I$20:$I$39</c:f>
              <c:numCache>
                <c:formatCode>0.000</c:formatCode>
                <c:ptCount val="20"/>
                <c:pt idx="0">
                  <c:v>0</c:v>
                </c:pt>
                <c:pt idx="1">
                  <c:v>18.236842105263158</c:v>
                </c:pt>
                <c:pt idx="2">
                  <c:v>36.473684210526315</c:v>
                </c:pt>
                <c:pt idx="3">
                  <c:v>54.710526315789473</c:v>
                </c:pt>
                <c:pt idx="4">
                  <c:v>72.94736842105263</c:v>
                </c:pt>
                <c:pt idx="5">
                  <c:v>91.18421052631578</c:v>
                </c:pt>
                <c:pt idx="6">
                  <c:v>109.42105263157893</c:v>
                </c:pt>
                <c:pt idx="7">
                  <c:v>127.65789473684208</c:v>
                </c:pt>
                <c:pt idx="8">
                  <c:v>145.89473684210523</c:v>
                </c:pt>
                <c:pt idx="9">
                  <c:v>164.13157894736838</c:v>
                </c:pt>
                <c:pt idx="10">
                  <c:v>182.36842105263153</c:v>
                </c:pt>
                <c:pt idx="11">
                  <c:v>200.60526315789468</c:v>
                </c:pt>
                <c:pt idx="12">
                  <c:v>218.84210526315783</c:v>
                </c:pt>
                <c:pt idx="13">
                  <c:v>237.07894736842098</c:v>
                </c:pt>
                <c:pt idx="14">
                  <c:v>255.31578947368413</c:v>
                </c:pt>
                <c:pt idx="15">
                  <c:v>273.55263157894728</c:v>
                </c:pt>
                <c:pt idx="16">
                  <c:v>291.78947368421046</c:v>
                </c:pt>
                <c:pt idx="17">
                  <c:v>310.02631578947364</c:v>
                </c:pt>
                <c:pt idx="18">
                  <c:v>328.26315789473682</c:v>
                </c:pt>
                <c:pt idx="19">
                  <c:v>346.5</c:v>
                </c:pt>
              </c:numCache>
            </c:numRef>
          </c:xVal>
          <c:yVal>
            <c:numRef>
              <c:f>'S2 Binomial'!$U$20:$U$39</c:f>
              <c:numCache>
                <c:formatCode>0.000</c:formatCode>
                <c:ptCount val="20"/>
                <c:pt idx="0">
                  <c:v>0.88562572713922205</c:v>
                </c:pt>
                <c:pt idx="1">
                  <c:v>0.76975598907950804</c:v>
                </c:pt>
                <c:pt idx="2">
                  <c:v>0.68566179259478788</c:v>
                </c:pt>
                <c:pt idx="3">
                  <c:v>0.62318971157390557</c:v>
                </c:pt>
                <c:pt idx="4">
                  <c:v>0.57485464817024168</c:v>
                </c:pt>
                <c:pt idx="5">
                  <c:v>0.53615416581097319</c:v>
                </c:pt>
                <c:pt idx="6">
                  <c:v>0.50431421733447834</c:v>
                </c:pt>
                <c:pt idx="7">
                  <c:v>0.47754587063323695</c:v>
                </c:pt>
                <c:pt idx="8">
                  <c:v>0.45464452107705244</c:v>
                </c:pt>
                <c:pt idx="9">
                  <c:v>0.43476817008969348</c:v>
                </c:pt>
                <c:pt idx="10">
                  <c:v>0.41730932720611946</c:v>
                </c:pt>
                <c:pt idx="11">
                  <c:v>0.4018177388097337</c:v>
                </c:pt>
                <c:pt idx="12">
                  <c:v>0.38795191998931644</c:v>
                </c:pt>
                <c:pt idx="13">
                  <c:v>0.37544768729683065</c:v>
                </c:pt>
                <c:pt idx="14">
                  <c:v>0.36409710219355063</c:v>
                </c:pt>
                <c:pt idx="15">
                  <c:v>0.35373400175534475</c:v>
                </c:pt>
                <c:pt idx="16">
                  <c:v>0.34422382024791909</c:v>
                </c:pt>
                <c:pt idx="17">
                  <c:v>0.33545627882523954</c:v>
                </c:pt>
                <c:pt idx="18">
                  <c:v>0.327340037008923</c:v>
                </c:pt>
                <c:pt idx="19">
                  <c:v>0.31979871398145465</c:v>
                </c:pt>
              </c:numCache>
            </c:numRef>
          </c:yVal>
          <c:smooth val="1"/>
          <c:extLst>
            <c:ext xmlns:c16="http://schemas.microsoft.com/office/drawing/2014/chart" uri="{C3380CC4-5D6E-409C-BE32-E72D297353CC}">
              <c16:uniqueId val="{00000002-75B4-454F-9609-EC8C7E2EC1A5}"/>
            </c:ext>
          </c:extLst>
        </c:ser>
        <c:ser>
          <c:idx val="7"/>
          <c:order val="7"/>
          <c:tx>
            <c:v>Gamma</c:v>
          </c:tx>
          <c:spPr>
            <a:ln w="19050" cap="rnd">
              <a:solidFill>
                <a:schemeClr val="accent2">
                  <a:lumMod val="60000"/>
                </a:schemeClr>
              </a:solidFill>
              <a:round/>
            </a:ln>
            <a:effectLst/>
          </c:spPr>
          <c:marker>
            <c:symbol val="none"/>
          </c:marker>
          <c:xVal>
            <c:numRef>
              <c:f>'S2 Binomial'!$I$20:$I$39</c:f>
              <c:numCache>
                <c:formatCode>0.000</c:formatCode>
                <c:ptCount val="20"/>
                <c:pt idx="0">
                  <c:v>0</c:v>
                </c:pt>
                <c:pt idx="1">
                  <c:v>18.236842105263158</c:v>
                </c:pt>
                <c:pt idx="2">
                  <c:v>36.473684210526315</c:v>
                </c:pt>
                <c:pt idx="3">
                  <c:v>54.710526315789473</c:v>
                </c:pt>
                <c:pt idx="4">
                  <c:v>72.94736842105263</c:v>
                </c:pt>
                <c:pt idx="5">
                  <c:v>91.18421052631578</c:v>
                </c:pt>
                <c:pt idx="6">
                  <c:v>109.42105263157893</c:v>
                </c:pt>
                <c:pt idx="7">
                  <c:v>127.65789473684208</c:v>
                </c:pt>
                <c:pt idx="8">
                  <c:v>145.89473684210523</c:v>
                </c:pt>
                <c:pt idx="9">
                  <c:v>164.13157894736838</c:v>
                </c:pt>
                <c:pt idx="10">
                  <c:v>182.36842105263153</c:v>
                </c:pt>
                <c:pt idx="11">
                  <c:v>200.60526315789468</c:v>
                </c:pt>
                <c:pt idx="12">
                  <c:v>218.84210526315783</c:v>
                </c:pt>
                <c:pt idx="13">
                  <c:v>237.07894736842098</c:v>
                </c:pt>
                <c:pt idx="14">
                  <c:v>255.31578947368413</c:v>
                </c:pt>
                <c:pt idx="15">
                  <c:v>273.55263157894728</c:v>
                </c:pt>
                <c:pt idx="16">
                  <c:v>291.78947368421046</c:v>
                </c:pt>
                <c:pt idx="17">
                  <c:v>310.02631578947364</c:v>
                </c:pt>
                <c:pt idx="18">
                  <c:v>328.26315789473682</c:v>
                </c:pt>
                <c:pt idx="19">
                  <c:v>346.5</c:v>
                </c:pt>
              </c:numCache>
            </c:numRef>
          </c:xVal>
          <c:yVal>
            <c:numRef>
              <c:f>'S2 Binomial'!$Y$20:$Y$39</c:f>
              <c:numCache>
                <c:formatCode>0.000</c:formatCode>
                <c:ptCount val="20"/>
                <c:pt idx="0">
                  <c:v>1</c:v>
                </c:pt>
                <c:pt idx="1">
                  <c:v>0.99924634060487183</c:v>
                </c:pt>
                <c:pt idx="2">
                  <c:v>0.99116282978666748</c:v>
                </c:pt>
                <c:pt idx="3">
                  <c:v>0.96705590319033496</c:v>
                </c:pt>
                <c:pt idx="4">
                  <c:v>0.92293682361051077</c:v>
                </c:pt>
                <c:pt idx="5">
                  <c:v>0.85999245427531579</c:v>
                </c:pt>
                <c:pt idx="6">
                  <c:v>0.78271710665499417</c:v>
                </c:pt>
                <c:pt idx="7">
                  <c:v>0.69690554711972841</c:v>
                </c:pt>
                <c:pt idx="8">
                  <c:v>0.60821002049616979</c:v>
                </c:pt>
                <c:pt idx="9">
                  <c:v>0.52133567899121835</c:v>
                </c:pt>
                <c:pt idx="10">
                  <c:v>0.43973232104153731</c:v>
                </c:pt>
                <c:pt idx="11">
                  <c:v>0.36560342828467357</c:v>
                </c:pt>
                <c:pt idx="12">
                  <c:v>0.30008328011486846</c:v>
                </c:pt>
                <c:pt idx="13">
                  <c:v>0.24347841427692724</c:v>
                </c:pt>
                <c:pt idx="14">
                  <c:v>0.19551059482629227</c:v>
                </c:pt>
                <c:pt idx="15">
                  <c:v>0.15552880828020813</c:v>
                </c:pt>
                <c:pt idx="16">
                  <c:v>0.12267775853836545</c:v>
                </c:pt>
                <c:pt idx="17">
                  <c:v>9.6022059198366039E-2</c:v>
                </c:pt>
                <c:pt idx="18">
                  <c:v>7.4631306278181625E-2</c:v>
                </c:pt>
                <c:pt idx="19">
                  <c:v>5.7633548496836051E-2</c:v>
                </c:pt>
              </c:numCache>
            </c:numRef>
          </c:yVal>
          <c:smooth val="1"/>
          <c:extLst>
            <c:ext xmlns:c16="http://schemas.microsoft.com/office/drawing/2014/chart" uri="{C3380CC4-5D6E-409C-BE32-E72D297353CC}">
              <c16:uniqueId val="{00000003-75B4-454F-9609-EC8C7E2EC1A5}"/>
            </c:ext>
          </c:extLst>
        </c:ser>
        <c:ser>
          <c:idx val="8"/>
          <c:order val="8"/>
          <c:tx>
            <c:v>Mortality Drift</c:v>
          </c:tx>
          <c:spPr>
            <a:ln w="19050" cap="rnd">
              <a:solidFill>
                <a:schemeClr val="accent3">
                  <a:lumMod val="60000"/>
                </a:schemeClr>
              </a:solidFill>
              <a:round/>
            </a:ln>
            <a:effectLst/>
          </c:spPr>
          <c:marker>
            <c:symbol val="none"/>
          </c:marker>
          <c:xVal>
            <c:numRef>
              <c:f>'S2 Binomial'!$I$20:$I$39</c:f>
              <c:numCache>
                <c:formatCode>0.000</c:formatCode>
                <c:ptCount val="20"/>
                <c:pt idx="0">
                  <c:v>0</c:v>
                </c:pt>
                <c:pt idx="1">
                  <c:v>18.236842105263158</c:v>
                </c:pt>
                <c:pt idx="2">
                  <c:v>36.473684210526315</c:v>
                </c:pt>
                <c:pt idx="3">
                  <c:v>54.710526315789473</c:v>
                </c:pt>
                <c:pt idx="4">
                  <c:v>72.94736842105263</c:v>
                </c:pt>
                <c:pt idx="5">
                  <c:v>91.18421052631578</c:v>
                </c:pt>
                <c:pt idx="6">
                  <c:v>109.42105263157893</c:v>
                </c:pt>
                <c:pt idx="7">
                  <c:v>127.65789473684208</c:v>
                </c:pt>
                <c:pt idx="8">
                  <c:v>145.89473684210523</c:v>
                </c:pt>
                <c:pt idx="9">
                  <c:v>164.13157894736838</c:v>
                </c:pt>
                <c:pt idx="10">
                  <c:v>182.36842105263153</c:v>
                </c:pt>
                <c:pt idx="11">
                  <c:v>200.60526315789468</c:v>
                </c:pt>
                <c:pt idx="12">
                  <c:v>218.84210526315783</c:v>
                </c:pt>
                <c:pt idx="13">
                  <c:v>237.07894736842098</c:v>
                </c:pt>
                <c:pt idx="14">
                  <c:v>255.31578947368413</c:v>
                </c:pt>
                <c:pt idx="15">
                  <c:v>273.55263157894728</c:v>
                </c:pt>
                <c:pt idx="16">
                  <c:v>291.78947368421046</c:v>
                </c:pt>
                <c:pt idx="17">
                  <c:v>310.02631578947364</c:v>
                </c:pt>
                <c:pt idx="18">
                  <c:v>328.26315789473682</c:v>
                </c:pt>
                <c:pt idx="19">
                  <c:v>346.5</c:v>
                </c:pt>
              </c:numCache>
            </c:numRef>
          </c:xVal>
          <c:yVal>
            <c:numRef>
              <c:f>'S2 Binomial'!$AA$20:$AA$39</c:f>
              <c:numCache>
                <c:formatCode>0.000</c:formatCode>
                <c:ptCount val="20"/>
                <c:pt idx="0">
                  <c:v>1</c:v>
                </c:pt>
                <c:pt idx="1">
                  <c:v>0.93136219142306298</c:v>
                </c:pt>
                <c:pt idx="2">
                  <c:v>0.86696579404572027</c:v>
                </c:pt>
                <c:pt idx="3">
                  <c:v>0.80658488082808466</c:v>
                </c:pt>
                <c:pt idx="4">
                  <c:v>0.75000290658047331</c:v>
                </c:pt>
                <c:pt idx="5">
                  <c:v>0.69701250713567731</c:v>
                </c:pt>
                <c:pt idx="6">
                  <c:v>0.64741528858142683</c:v>
                </c:pt>
                <c:pt idx="7">
                  <c:v>0.60102160791044779</c:v>
                </c:pt>
                <c:pt idx="8">
                  <c:v>0.55765034638133659</c:v>
                </c:pt>
                <c:pt idx="9">
                  <c:v>0.51712867681843722</c:v>
                </c:pt>
                <c:pt idx="10">
                  <c:v>0.47929182601336473</c:v>
                </c:pt>
                <c:pt idx="11">
                  <c:v>0.44398283332512545</c:v>
                </c:pt>
                <c:pt idx="12">
                  <c:v>0.41105230651024594</c:v>
                </c:pt>
                <c:pt idx="13">
                  <c:v>0.38035817574925168</c:v>
                </c:pt>
                <c:pt idx="14">
                  <c:v>0.35176544677148774</c:v>
                </c:pt>
                <c:pt idx="15">
                  <c:v>0.32514595391691098</c:v>
                </c:pt>
                <c:pt idx="16">
                  <c:v>0.30037811391131514</c:v>
                </c:pt>
                <c:pt idx="17">
                  <c:v>0.27734668107069982</c:v>
                </c:pt>
                <c:pt idx="18">
                  <c:v>0.25594250459131235</c:v>
                </c:pt>
                <c:pt idx="19">
                  <c:v>0.23606228852446806</c:v>
                </c:pt>
              </c:numCache>
            </c:numRef>
          </c:yVal>
          <c:smooth val="1"/>
          <c:extLst>
            <c:ext xmlns:c16="http://schemas.microsoft.com/office/drawing/2014/chart" uri="{C3380CC4-5D6E-409C-BE32-E72D297353CC}">
              <c16:uniqueId val="{00000004-75B4-454F-9609-EC8C7E2EC1A5}"/>
            </c:ext>
          </c:extLst>
        </c:ser>
        <c:ser>
          <c:idx val="9"/>
          <c:order val="9"/>
          <c:tx>
            <c:v>Warranty</c:v>
          </c:tx>
          <c:spPr>
            <a:ln w="19050" cap="rnd">
              <a:solidFill>
                <a:schemeClr val="accent4">
                  <a:lumMod val="60000"/>
                </a:schemeClr>
              </a:solidFill>
              <a:round/>
            </a:ln>
            <a:effectLst/>
          </c:spPr>
          <c:marker>
            <c:symbol val="none"/>
          </c:marker>
          <c:xVal>
            <c:numRef>
              <c:f>'S2 Binomial'!$I$20:$I$39</c:f>
              <c:numCache>
                <c:formatCode>0.000</c:formatCode>
                <c:ptCount val="20"/>
                <c:pt idx="0">
                  <c:v>0</c:v>
                </c:pt>
                <c:pt idx="1">
                  <c:v>18.236842105263158</c:v>
                </c:pt>
                <c:pt idx="2">
                  <c:v>36.473684210526315</c:v>
                </c:pt>
                <c:pt idx="3">
                  <c:v>54.710526315789473</c:v>
                </c:pt>
                <c:pt idx="4">
                  <c:v>72.94736842105263</c:v>
                </c:pt>
                <c:pt idx="5">
                  <c:v>91.18421052631578</c:v>
                </c:pt>
                <c:pt idx="6">
                  <c:v>109.42105263157893</c:v>
                </c:pt>
                <c:pt idx="7">
                  <c:v>127.65789473684208</c:v>
                </c:pt>
                <c:pt idx="8">
                  <c:v>145.89473684210523</c:v>
                </c:pt>
                <c:pt idx="9">
                  <c:v>164.13157894736838</c:v>
                </c:pt>
                <c:pt idx="10">
                  <c:v>182.36842105263153</c:v>
                </c:pt>
                <c:pt idx="11">
                  <c:v>200.60526315789468</c:v>
                </c:pt>
                <c:pt idx="12">
                  <c:v>218.84210526315783</c:v>
                </c:pt>
                <c:pt idx="13">
                  <c:v>237.07894736842098</c:v>
                </c:pt>
                <c:pt idx="14">
                  <c:v>255.31578947368413</c:v>
                </c:pt>
                <c:pt idx="15">
                  <c:v>273.55263157894728</c:v>
                </c:pt>
                <c:pt idx="16">
                  <c:v>291.78947368421046</c:v>
                </c:pt>
                <c:pt idx="17">
                  <c:v>310.02631578947364</c:v>
                </c:pt>
                <c:pt idx="18">
                  <c:v>328.26315789473682</c:v>
                </c:pt>
                <c:pt idx="19">
                  <c:v>346.5</c:v>
                </c:pt>
              </c:numCache>
            </c:numRef>
          </c:xVal>
          <c:yVal>
            <c:numRef>
              <c:f>'S2 Binomial'!$AD$20:$AD$39</c:f>
              <c:numCache>
                <c:formatCode>0.000</c:formatCode>
                <c:ptCount val="20"/>
                <c:pt idx="0">
                  <c:v>0.7242627143991629</c:v>
                </c:pt>
                <c:pt idx="1">
                  <c:v>0.70721442804620271</c:v>
                </c:pt>
                <c:pt idx="2">
                  <c:v>0.68956387585260714</c:v>
                </c:pt>
                <c:pt idx="3">
                  <c:v>0.67134375190385964</c:v>
                </c:pt>
                <c:pt idx="4">
                  <c:v>0.65259301092407707</c:v>
                </c:pt>
                <c:pt idx="5">
                  <c:v>0.63335673200736031</c:v>
                </c:pt>
                <c:pt idx="6">
                  <c:v>0.61368584496313783</c:v>
                </c:pt>
                <c:pt idx="7">
                  <c:v>0.59363671648131355</c:v>
                </c:pt>
                <c:pt idx="8">
                  <c:v>0.57327059862251817</c:v>
                </c:pt>
                <c:pt idx="9">
                  <c:v>0.55265294778522744</c:v>
                </c:pt>
                <c:pt idx="10">
                  <c:v>0.53185262796602717</c:v>
                </c:pt>
                <c:pt idx="11">
                  <c:v>0.51094101745054454</c:v>
                </c:pt>
                <c:pt idx="12">
                  <c:v>0.4899910426876159</c:v>
                </c:pt>
                <c:pt idx="13">
                  <c:v>0.46907616667764424</c:v>
                </c:pt>
                <c:pt idx="14">
                  <c:v>0.44826936148251822</c:v>
                </c:pt>
                <c:pt idx="15">
                  <c:v>0.42764209526640001</c:v>
                </c:pt>
                <c:pt idx="16">
                  <c:v>0.40726336354266734</c:v>
                </c:pt>
                <c:pt idx="17">
                  <c:v>0.38719879208859698</c:v>
                </c:pt>
                <c:pt idx="18">
                  <c:v>0.36750983546389815</c:v>
                </c:pt>
                <c:pt idx="19">
                  <c:v>0.3482530904936233</c:v>
                </c:pt>
              </c:numCache>
            </c:numRef>
          </c:yVal>
          <c:smooth val="1"/>
          <c:extLst>
            <c:ext xmlns:c16="http://schemas.microsoft.com/office/drawing/2014/chart" uri="{C3380CC4-5D6E-409C-BE32-E72D297353CC}">
              <c16:uniqueId val="{00000005-75B4-454F-9609-EC8C7E2EC1A5}"/>
            </c:ext>
          </c:extLst>
        </c:ser>
        <c:ser>
          <c:idx val="10"/>
          <c:order val="10"/>
          <c:tx>
            <c:v>Drift</c:v>
          </c:tx>
          <c:spPr>
            <a:ln w="19050" cap="rnd">
              <a:solidFill>
                <a:schemeClr val="accent5">
                  <a:lumMod val="60000"/>
                </a:schemeClr>
              </a:solidFill>
              <a:round/>
            </a:ln>
            <a:effectLst/>
          </c:spPr>
          <c:marker>
            <c:symbol val="none"/>
          </c:marker>
          <c:xVal>
            <c:numRef>
              <c:f>'S2 Binomial'!$I$20:$I$39</c:f>
              <c:numCache>
                <c:formatCode>0.000</c:formatCode>
                <c:ptCount val="20"/>
                <c:pt idx="0">
                  <c:v>0</c:v>
                </c:pt>
                <c:pt idx="1">
                  <c:v>18.236842105263158</c:v>
                </c:pt>
                <c:pt idx="2">
                  <c:v>36.473684210526315</c:v>
                </c:pt>
                <c:pt idx="3">
                  <c:v>54.710526315789473</c:v>
                </c:pt>
                <c:pt idx="4">
                  <c:v>72.94736842105263</c:v>
                </c:pt>
                <c:pt idx="5">
                  <c:v>91.18421052631578</c:v>
                </c:pt>
                <c:pt idx="6">
                  <c:v>109.42105263157893</c:v>
                </c:pt>
                <c:pt idx="7">
                  <c:v>127.65789473684208</c:v>
                </c:pt>
                <c:pt idx="8">
                  <c:v>145.89473684210523</c:v>
                </c:pt>
                <c:pt idx="9">
                  <c:v>164.13157894736838</c:v>
                </c:pt>
                <c:pt idx="10">
                  <c:v>182.36842105263153</c:v>
                </c:pt>
                <c:pt idx="11">
                  <c:v>200.60526315789468</c:v>
                </c:pt>
                <c:pt idx="12">
                  <c:v>218.84210526315783</c:v>
                </c:pt>
                <c:pt idx="13">
                  <c:v>237.07894736842098</c:v>
                </c:pt>
                <c:pt idx="14">
                  <c:v>255.31578947368413</c:v>
                </c:pt>
                <c:pt idx="15">
                  <c:v>273.55263157894728</c:v>
                </c:pt>
                <c:pt idx="16">
                  <c:v>291.78947368421046</c:v>
                </c:pt>
                <c:pt idx="17">
                  <c:v>310.02631578947364</c:v>
                </c:pt>
                <c:pt idx="18">
                  <c:v>328.26315789473682</c:v>
                </c:pt>
                <c:pt idx="19">
                  <c:v>346.5</c:v>
                </c:pt>
              </c:numCache>
            </c:numRef>
          </c:xVal>
          <c:yVal>
            <c:numRef>
              <c:f>'S2 Binomial'!$AG$20:$AG$39</c:f>
              <c:numCache>
                <c:formatCode>0.000</c:formatCode>
                <c:ptCount val="20"/>
                <c:pt idx="0">
                  <c:v>0.52052308040129014</c:v>
                </c:pt>
                <c:pt idx="1">
                  <c:v>0.51325425437904104</c:v>
                </c:pt>
                <c:pt idx="2">
                  <c:v>0.50598102221341179</c:v>
                </c:pt>
                <c:pt idx="3">
                  <c:v>0.498705801179399</c:v>
                </c:pt>
                <c:pt idx="4">
                  <c:v>0.49143101053585303</c:v>
                </c:pt>
                <c:pt idx="5">
                  <c:v>0.48415906911228856</c:v>
                </c:pt>
                <c:pt idx="6">
                  <c:v>0.47689239289640684</c:v>
                </c:pt>
                <c:pt idx="7">
                  <c:v>0.46963339262634385</c:v>
                </c:pt>
                <c:pt idx="8">
                  <c:v>0.46238447139163785</c:v>
                </c:pt>
                <c:pt idx="9">
                  <c:v>0.4551480222469011</c:v>
                </c:pt>
                <c:pt idx="10">
                  <c:v>0.4479264258421376</c:v>
                </c:pt>
                <c:pt idx="11">
                  <c:v>0.44072204807362469</c:v>
                </c:pt>
                <c:pt idx="12">
                  <c:v>0.43353723775921504</c:v>
                </c:pt>
                <c:pt idx="13">
                  <c:v>0.42637432434186762</c:v>
                </c:pt>
                <c:pt idx="14">
                  <c:v>0.41923561562514933</c:v>
                </c:pt>
                <c:pt idx="15">
                  <c:v>0.41212339554437172</c:v>
                </c:pt>
                <c:pt idx="16">
                  <c:v>0.40503992197695005</c:v>
                </c:pt>
                <c:pt idx="17">
                  <c:v>0.3979874245954762</c:v>
                </c:pt>
                <c:pt idx="18">
                  <c:v>0.39096810276690497</c:v>
                </c:pt>
                <c:pt idx="19">
                  <c:v>0.38398412350114342</c:v>
                </c:pt>
              </c:numCache>
            </c:numRef>
          </c:yVal>
          <c:smooth val="1"/>
          <c:extLst>
            <c:ext xmlns:c16="http://schemas.microsoft.com/office/drawing/2014/chart" uri="{C3380CC4-5D6E-409C-BE32-E72D297353CC}">
              <c16:uniqueId val="{00000006-75B4-454F-9609-EC8C7E2EC1A5}"/>
            </c:ext>
          </c:extLst>
        </c:ser>
        <c:ser>
          <c:idx val="11"/>
          <c:order val="11"/>
          <c:tx>
            <c:v>Lognormal</c:v>
          </c:tx>
          <c:spPr>
            <a:ln w="19050" cap="rnd">
              <a:solidFill>
                <a:schemeClr val="accent6">
                  <a:lumMod val="60000"/>
                </a:schemeClr>
              </a:solidFill>
              <a:round/>
            </a:ln>
            <a:effectLst/>
          </c:spPr>
          <c:marker>
            <c:symbol val="none"/>
          </c:marker>
          <c:xVal>
            <c:numRef>
              <c:f>'S2 Binomial'!$I$20:$I$39</c:f>
              <c:numCache>
                <c:formatCode>0.000</c:formatCode>
                <c:ptCount val="20"/>
                <c:pt idx="0">
                  <c:v>0</c:v>
                </c:pt>
                <c:pt idx="1">
                  <c:v>18.236842105263158</c:v>
                </c:pt>
                <c:pt idx="2">
                  <c:v>36.473684210526315</c:v>
                </c:pt>
                <c:pt idx="3">
                  <c:v>54.710526315789473</c:v>
                </c:pt>
                <c:pt idx="4">
                  <c:v>72.94736842105263</c:v>
                </c:pt>
                <c:pt idx="5">
                  <c:v>91.18421052631578</c:v>
                </c:pt>
                <c:pt idx="6">
                  <c:v>109.42105263157893</c:v>
                </c:pt>
                <c:pt idx="7">
                  <c:v>127.65789473684208</c:v>
                </c:pt>
                <c:pt idx="8">
                  <c:v>145.89473684210523</c:v>
                </c:pt>
                <c:pt idx="9">
                  <c:v>164.13157894736838</c:v>
                </c:pt>
                <c:pt idx="10">
                  <c:v>182.36842105263153</c:v>
                </c:pt>
                <c:pt idx="11">
                  <c:v>200.60526315789468</c:v>
                </c:pt>
                <c:pt idx="12">
                  <c:v>218.84210526315783</c:v>
                </c:pt>
                <c:pt idx="13">
                  <c:v>237.07894736842098</c:v>
                </c:pt>
                <c:pt idx="14">
                  <c:v>255.31578947368413</c:v>
                </c:pt>
                <c:pt idx="15">
                  <c:v>273.55263157894728</c:v>
                </c:pt>
                <c:pt idx="16">
                  <c:v>291.78947368421046</c:v>
                </c:pt>
                <c:pt idx="17">
                  <c:v>310.02631578947364</c:v>
                </c:pt>
                <c:pt idx="18">
                  <c:v>328.26315789473682</c:v>
                </c:pt>
                <c:pt idx="19">
                  <c:v>346.5</c:v>
                </c:pt>
              </c:numCache>
            </c:numRef>
          </c:xVal>
          <c:yVal>
            <c:numRef>
              <c:f>'S2 Binomial'!$AK$20:$AK$39</c:f>
              <c:numCache>
                <c:formatCode>0.000</c:formatCode>
                <c:ptCount val="20"/>
                <c:pt idx="0">
                  <c:v>1</c:v>
                </c:pt>
                <c:pt idx="1">
                  <c:v>0.86741961510137</c:v>
                </c:pt>
                <c:pt idx="2">
                  <c:v>0.77866801865878088</c:v>
                </c:pt>
                <c:pt idx="3">
                  <c:v>0.71395288988080285</c:v>
                </c:pt>
                <c:pt idx="4">
                  <c:v>0.66316951647561018</c:v>
                </c:pt>
                <c:pt idx="5">
                  <c:v>0.6215511132284286</c:v>
                </c:pt>
                <c:pt idx="6">
                  <c:v>0.58643983968807156</c:v>
                </c:pt>
                <c:pt idx="7">
                  <c:v>0.55619181793402661</c:v>
                </c:pt>
                <c:pt idx="8">
                  <c:v>0.52971572937790068</c:v>
                </c:pt>
                <c:pt idx="9">
                  <c:v>0.50624868909169929</c:v>
                </c:pt>
                <c:pt idx="10">
                  <c:v>0.48523593417141075</c:v>
                </c:pt>
                <c:pt idx="11">
                  <c:v>0.46626125071946789</c:v>
                </c:pt>
                <c:pt idx="12">
                  <c:v>0.44900434974396264</c:v>
                </c:pt>
                <c:pt idx="13">
                  <c:v>0.43321351768509331</c:v>
                </c:pt>
                <c:pt idx="14">
                  <c:v>0.41868738964632812</c:v>
                </c:pt>
                <c:pt idx="15">
                  <c:v>0.40526241113204287</c:v>
                </c:pt>
                <c:pt idx="16">
                  <c:v>0.39280397756458951</c:v>
                </c:pt>
                <c:pt idx="17">
                  <c:v>0.38120002603790804</c:v>
                </c:pt>
                <c:pt idx="18">
                  <c:v>0.37035630623868576</c:v>
                </c:pt>
                <c:pt idx="19">
                  <c:v>0.36019282817572296</c:v>
                </c:pt>
              </c:numCache>
            </c:numRef>
          </c:yVal>
          <c:smooth val="1"/>
          <c:extLst>
            <c:ext xmlns:c16="http://schemas.microsoft.com/office/drawing/2014/chart" uri="{C3380CC4-5D6E-409C-BE32-E72D297353CC}">
              <c16:uniqueId val="{00000007-75B4-454F-9609-EC8C7E2EC1A5}"/>
            </c:ext>
          </c:extLst>
        </c:ser>
        <c:dLbls>
          <c:showLegendKey val="0"/>
          <c:showVal val="0"/>
          <c:showCatName val="0"/>
          <c:showSerName val="0"/>
          <c:showPercent val="0"/>
          <c:showBubbleSize val="0"/>
        </c:dLbls>
        <c:axId val="531434816"/>
        <c:axId val="531433856"/>
      </c:scatterChart>
      <c:valAx>
        <c:axId val="53143481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Days Since Calibration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1433856"/>
        <c:crosses val="autoZero"/>
        <c:crossBetween val="midCat"/>
      </c:valAx>
      <c:valAx>
        <c:axId val="531433856"/>
        <c:scaling>
          <c:orientation val="minMax"/>
          <c:max val="1.1000000000000001"/>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Reliability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1434816"/>
        <c:crosses val="autoZero"/>
        <c:crossBetween val="midCat"/>
      </c:valAx>
      <c:spPr>
        <a:solidFill>
          <a:schemeClr val="bg1">
            <a:lumMod val="95000"/>
          </a:schemeClr>
        </a:solidFill>
        <a:ln>
          <a:solidFill>
            <a:schemeClr val="bg1">
              <a:lumMod val="95000"/>
            </a:schemeClr>
          </a:solid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Projected Reliability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v>Reliability</c:v>
          </c:tx>
          <c:spPr>
            <a:ln w="19050" cap="rnd">
              <a:solidFill>
                <a:schemeClr val="accent1"/>
              </a:solidFill>
              <a:round/>
            </a:ln>
            <a:effectLst/>
          </c:spPr>
          <c:marker>
            <c:symbol val="none"/>
          </c:marker>
          <c:xVal>
            <c:numRef>
              <c:f>'V1 Reliability Target'!$J$20:$J$39</c:f>
              <c:numCache>
                <c:formatCode>General</c:formatCode>
                <c:ptCount val="20"/>
                <c:pt idx="0">
                  <c:v>0</c:v>
                </c:pt>
                <c:pt idx="1">
                  <c:v>22.763157894736842</c:v>
                </c:pt>
                <c:pt idx="2">
                  <c:v>45.526315789473685</c:v>
                </c:pt>
                <c:pt idx="3">
                  <c:v>68.28947368421052</c:v>
                </c:pt>
                <c:pt idx="4">
                  <c:v>91.05263157894737</c:v>
                </c:pt>
                <c:pt idx="5">
                  <c:v>113.81578947368422</c:v>
                </c:pt>
                <c:pt idx="6">
                  <c:v>136.57894736842107</c:v>
                </c:pt>
                <c:pt idx="7">
                  <c:v>159.34210526315792</c:v>
                </c:pt>
                <c:pt idx="8">
                  <c:v>182.10526315789477</c:v>
                </c:pt>
                <c:pt idx="9">
                  <c:v>204.86842105263162</c:v>
                </c:pt>
                <c:pt idx="10">
                  <c:v>227.63157894736847</c:v>
                </c:pt>
                <c:pt idx="11">
                  <c:v>250.39473684210532</c:v>
                </c:pt>
                <c:pt idx="12">
                  <c:v>273.15789473684214</c:v>
                </c:pt>
                <c:pt idx="13">
                  <c:v>295.92105263157896</c:v>
                </c:pt>
                <c:pt idx="14">
                  <c:v>318.68421052631578</c:v>
                </c:pt>
                <c:pt idx="15">
                  <c:v>341.4473684210526</c:v>
                </c:pt>
                <c:pt idx="16">
                  <c:v>364.21052631578942</c:v>
                </c:pt>
                <c:pt idx="17">
                  <c:v>386.97368421052624</c:v>
                </c:pt>
                <c:pt idx="18">
                  <c:v>409.73684210526307</c:v>
                </c:pt>
                <c:pt idx="19">
                  <c:v>432.49999999999989</c:v>
                </c:pt>
              </c:numCache>
            </c:numRef>
          </c:xVal>
          <c:yVal>
            <c:numRef>
              <c:f>'V1 Reliability Target'!$K$20:$K$39</c:f>
              <c:numCache>
                <c:formatCode>General</c:formatCode>
                <c:ptCount val="20"/>
                <c:pt idx="0">
                  <c:v>0.97000594586626565</c:v>
                </c:pt>
                <c:pt idx="1">
                  <c:v>0.97014056817713179</c:v>
                </c:pt>
                <c:pt idx="2">
                  <c:v>0.97007604485714671</c:v>
                </c:pt>
                <c:pt idx="3">
                  <c:v>0.9689801356485247</c:v>
                </c:pt>
                <c:pt idx="4">
                  <c:v>0.96586447983547408</c:v>
                </c:pt>
                <c:pt idx="5">
                  <c:v>0.95926715490880876</c:v>
                </c:pt>
                <c:pt idx="6">
                  <c:v>0.94651325394096153</c:v>
                </c:pt>
                <c:pt idx="7">
                  <c:v>0.92172075348801519</c:v>
                </c:pt>
                <c:pt idx="8">
                  <c:v>0.87068320687767131</c:v>
                </c:pt>
                <c:pt idx="9">
                  <c:v>0.76422955503782342</c:v>
                </c:pt>
                <c:pt idx="10">
                  <c:v>0.58001394887613111</c:v>
                </c:pt>
                <c:pt idx="11">
                  <c:v>0.3674831684963995</c:v>
                </c:pt>
                <c:pt idx="12">
                  <c:v>0.20680049327765243</c:v>
                </c:pt>
                <c:pt idx="13">
                  <c:v>0.11556976880786674</c:v>
                </c:pt>
                <c:pt idx="14">
                  <c:v>7.0518033722668849E-2</c:v>
                </c:pt>
                <c:pt idx="15">
                  <c:v>4.8780417767644968E-2</c:v>
                </c:pt>
                <c:pt idx="16">
                  <c:v>3.7703604067435337E-2</c:v>
                </c:pt>
                <c:pt idx="17">
                  <c:v>3.1499148138356914E-2</c:v>
                </c:pt>
                <c:pt idx="18">
                  <c:v>2.7629802624678679E-2</c:v>
                </c:pt>
                <c:pt idx="19">
                  <c:v>2.4957817910536861E-2</c:v>
                </c:pt>
              </c:numCache>
            </c:numRef>
          </c:yVal>
          <c:smooth val="1"/>
          <c:extLst>
            <c:ext xmlns:c16="http://schemas.microsoft.com/office/drawing/2014/chart" uri="{C3380CC4-5D6E-409C-BE32-E72D297353CC}">
              <c16:uniqueId val="{00000000-B71F-4F55-B212-266257F883D0}"/>
            </c:ext>
          </c:extLst>
        </c:ser>
        <c:ser>
          <c:idx val="1"/>
          <c:order val="1"/>
          <c:tx>
            <c:v>Interval</c:v>
          </c:tx>
          <c:spPr>
            <a:ln w="19050" cap="rnd">
              <a:solidFill>
                <a:schemeClr val="accent2"/>
              </a:solidFill>
              <a:prstDash val="dash"/>
              <a:round/>
            </a:ln>
            <a:effectLst/>
          </c:spPr>
          <c:marker>
            <c:symbol val="none"/>
          </c:marker>
          <c:xVal>
            <c:numRef>
              <c:f>'V1 Reliability Target'!$M$24:$M$25</c:f>
              <c:numCache>
                <c:formatCode>0.00</c:formatCode>
                <c:ptCount val="2"/>
                <c:pt idx="0">
                  <c:v>171.268310546875</c:v>
                </c:pt>
                <c:pt idx="1">
                  <c:v>171.268310546875</c:v>
                </c:pt>
              </c:numCache>
            </c:numRef>
          </c:xVal>
          <c:yVal>
            <c:numRef>
              <c:f>'V1 Reliability Target'!$N$24:$N$25</c:f>
              <c:numCache>
                <c:formatCode>General</c:formatCode>
                <c:ptCount val="2"/>
                <c:pt idx="0">
                  <c:v>0</c:v>
                </c:pt>
                <c:pt idx="1">
                  <c:v>1.1000000000000001</c:v>
                </c:pt>
              </c:numCache>
            </c:numRef>
          </c:yVal>
          <c:smooth val="1"/>
          <c:extLst>
            <c:ext xmlns:c16="http://schemas.microsoft.com/office/drawing/2014/chart" uri="{C3380CC4-5D6E-409C-BE32-E72D297353CC}">
              <c16:uniqueId val="{00000005-B71F-4F55-B212-266257F883D0}"/>
            </c:ext>
          </c:extLst>
        </c:ser>
        <c:ser>
          <c:idx val="2"/>
          <c:order val="2"/>
          <c:tx>
            <c:v>Target</c:v>
          </c:tx>
          <c:spPr>
            <a:ln w="19050" cap="rnd">
              <a:solidFill>
                <a:schemeClr val="accent3"/>
              </a:solidFill>
              <a:prstDash val="dash"/>
              <a:round/>
            </a:ln>
            <a:effectLst/>
          </c:spPr>
          <c:marker>
            <c:symbol val="none"/>
          </c:marker>
          <c:xVal>
            <c:numRef>
              <c:f>'V1 Reliability Target'!$M$20:$M$21</c:f>
              <c:numCache>
                <c:formatCode>General</c:formatCode>
                <c:ptCount val="2"/>
                <c:pt idx="0">
                  <c:v>0</c:v>
                </c:pt>
                <c:pt idx="1">
                  <c:v>432.5</c:v>
                </c:pt>
              </c:numCache>
            </c:numRef>
          </c:xVal>
          <c:yVal>
            <c:numRef>
              <c:f>'V1 Reliability Target'!$N$20:$N$21</c:f>
              <c:numCache>
                <c:formatCode>General</c:formatCode>
                <c:ptCount val="2"/>
                <c:pt idx="0">
                  <c:v>0.9</c:v>
                </c:pt>
                <c:pt idx="1">
                  <c:v>0.9</c:v>
                </c:pt>
              </c:numCache>
            </c:numRef>
          </c:yVal>
          <c:smooth val="1"/>
          <c:extLst>
            <c:ext xmlns:c16="http://schemas.microsoft.com/office/drawing/2014/chart" uri="{C3380CC4-5D6E-409C-BE32-E72D297353CC}">
              <c16:uniqueId val="{00000006-B71F-4F55-B212-266257F883D0}"/>
            </c:ext>
          </c:extLst>
        </c:ser>
        <c:dLbls>
          <c:showLegendKey val="0"/>
          <c:showVal val="0"/>
          <c:showCatName val="0"/>
          <c:showSerName val="0"/>
          <c:showPercent val="0"/>
          <c:showBubbleSize val="0"/>
        </c:dLbls>
        <c:axId val="857588960"/>
        <c:axId val="857593280"/>
      </c:scatterChart>
      <c:valAx>
        <c:axId val="85758896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Resubmission 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7593280"/>
        <c:crosses val="autoZero"/>
        <c:crossBetween val="midCat"/>
      </c:valAx>
      <c:valAx>
        <c:axId val="8575932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Reliability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7588960"/>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Drift Data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38100" cap="rnd">
              <a:noFill/>
              <a:round/>
            </a:ln>
            <a:effectLst/>
          </c:spPr>
          <c:marker>
            <c:symbol val="circle"/>
            <c:size val="5"/>
            <c:spPr>
              <a:solidFill>
                <a:schemeClr val="accent1"/>
              </a:solidFill>
              <a:ln w="9525">
                <a:solidFill>
                  <a:schemeClr val="accent1"/>
                </a:solidFill>
              </a:ln>
              <a:effectLst/>
            </c:spPr>
          </c:marker>
          <c:xVal>
            <c:numRef>
              <c:f>'V1 Reliability Target'!$F$4:$F$9</c:f>
              <c:numCache>
                <c:formatCode>General</c:formatCode>
                <c:ptCount val="6"/>
                <c:pt idx="0">
                  <c:v>104</c:v>
                </c:pt>
                <c:pt idx="1">
                  <c:v>86</c:v>
                </c:pt>
                <c:pt idx="2">
                  <c:v>135</c:v>
                </c:pt>
                <c:pt idx="3">
                  <c:v>70</c:v>
                </c:pt>
                <c:pt idx="4">
                  <c:v>173</c:v>
                </c:pt>
                <c:pt idx="5">
                  <c:v>167</c:v>
                </c:pt>
              </c:numCache>
            </c:numRef>
          </c:xVal>
          <c:yVal>
            <c:numRef>
              <c:f>'V1 Reliability Target'!$G$4:$G$9</c:f>
              <c:numCache>
                <c:formatCode>0.000</c:formatCode>
                <c:ptCount val="6"/>
                <c:pt idx="0">
                  <c:v>0.25099999999999945</c:v>
                </c:pt>
                <c:pt idx="1">
                  <c:v>0.10999999999999943</c:v>
                </c:pt>
                <c:pt idx="2">
                  <c:v>0.29899999999999949</c:v>
                </c:pt>
                <c:pt idx="3">
                  <c:v>0.10000000000000142</c:v>
                </c:pt>
                <c:pt idx="4">
                  <c:v>0.61500000000000021</c:v>
                </c:pt>
                <c:pt idx="5">
                  <c:v>0.40300000000000047</c:v>
                </c:pt>
              </c:numCache>
            </c:numRef>
          </c:yVal>
          <c:smooth val="0"/>
          <c:extLst>
            <c:ext xmlns:c16="http://schemas.microsoft.com/office/drawing/2014/chart" uri="{C3380CC4-5D6E-409C-BE32-E72D297353CC}">
              <c16:uniqueId val="{00000000-001D-41A4-A96E-5E94A6BDDD0D}"/>
            </c:ext>
          </c:extLst>
        </c:ser>
        <c:ser>
          <c:idx val="1"/>
          <c:order val="1"/>
          <c:tx>
            <c:v>Predicted</c:v>
          </c:tx>
          <c:spPr>
            <a:ln w="19050" cap="rnd">
              <a:solidFill>
                <a:schemeClr val="accent2"/>
              </a:solidFill>
              <a:round/>
            </a:ln>
            <a:effectLst/>
          </c:spPr>
          <c:marker>
            <c:symbol val="circle"/>
            <c:size val="5"/>
            <c:spPr>
              <a:noFill/>
              <a:ln w="9525">
                <a:noFill/>
              </a:ln>
              <a:effectLst/>
            </c:spPr>
          </c:marker>
          <c:xVal>
            <c:numRef>
              <c:f>'V1 Reliability Target'!$P$20:$P$39</c:f>
              <c:numCache>
                <c:formatCode>General</c:formatCode>
                <c:ptCount val="20"/>
                <c:pt idx="0">
                  <c:v>0</c:v>
                </c:pt>
                <c:pt idx="1">
                  <c:v>10.015789473684212</c:v>
                </c:pt>
                <c:pt idx="2">
                  <c:v>20.031578947368423</c:v>
                </c:pt>
                <c:pt idx="3">
                  <c:v>30.047368421052635</c:v>
                </c:pt>
                <c:pt idx="4">
                  <c:v>40.063157894736847</c:v>
                </c:pt>
                <c:pt idx="5">
                  <c:v>50.078947368421055</c:v>
                </c:pt>
                <c:pt idx="6">
                  <c:v>60.094736842105263</c:v>
                </c:pt>
                <c:pt idx="7">
                  <c:v>70.110526315789471</c:v>
                </c:pt>
                <c:pt idx="8">
                  <c:v>80.126315789473679</c:v>
                </c:pt>
                <c:pt idx="9">
                  <c:v>90.142105263157887</c:v>
                </c:pt>
                <c:pt idx="10">
                  <c:v>100.1578947368421</c:v>
                </c:pt>
                <c:pt idx="11">
                  <c:v>110.1736842105263</c:v>
                </c:pt>
                <c:pt idx="12">
                  <c:v>120.18947368421051</c:v>
                </c:pt>
                <c:pt idx="13">
                  <c:v>130.20526315789473</c:v>
                </c:pt>
                <c:pt idx="14">
                  <c:v>140.22105263157894</c:v>
                </c:pt>
                <c:pt idx="15">
                  <c:v>150.23684210526315</c:v>
                </c:pt>
                <c:pt idx="16">
                  <c:v>160.25263157894736</c:v>
                </c:pt>
                <c:pt idx="17">
                  <c:v>170.26842105263157</c:v>
                </c:pt>
                <c:pt idx="18">
                  <c:v>180.28421052631577</c:v>
                </c:pt>
                <c:pt idx="19">
                  <c:v>190.29999999999998</c:v>
                </c:pt>
              </c:numCache>
            </c:numRef>
          </c:xVal>
          <c:yVal>
            <c:numRef>
              <c:f>'V1 Reliability Target'!$Q$20:$Q$39</c:f>
              <c:numCache>
                <c:formatCode>General</c:formatCode>
                <c:ptCount val="20"/>
                <c:pt idx="0">
                  <c:v>0</c:v>
                </c:pt>
                <c:pt idx="1">
                  <c:v>3.2556352356526361E-3</c:v>
                </c:pt>
                <c:pt idx="2">
                  <c:v>9.8694351499997671E-3</c:v>
                </c:pt>
                <c:pt idx="3">
                  <c:v>1.9841399743041395E-2</c:v>
                </c:pt>
                <c:pt idx="4">
                  <c:v>3.3171529014777511E-2</c:v>
                </c:pt>
                <c:pt idx="5">
                  <c:v>4.985982296520812E-2</c:v>
                </c:pt>
                <c:pt idx="6">
                  <c:v>6.9906281594333222E-2</c:v>
                </c:pt>
                <c:pt idx="7">
                  <c:v>9.3310904902152811E-2</c:v>
                </c:pt>
                <c:pt idx="8">
                  <c:v>0.1200736928886669</c:v>
                </c:pt>
                <c:pt idx="9">
                  <c:v>0.15019464555387546</c:v>
                </c:pt>
                <c:pt idx="10">
                  <c:v>0.18367376289777854</c:v>
                </c:pt>
                <c:pt idx="11">
                  <c:v>0.2205110449203761</c:v>
                </c:pt>
                <c:pt idx="12">
                  <c:v>0.26070649162166815</c:v>
                </c:pt>
                <c:pt idx="13">
                  <c:v>0.30426010300165479</c:v>
                </c:pt>
                <c:pt idx="14">
                  <c:v>0.35117187906033581</c:v>
                </c:pt>
                <c:pt idx="15">
                  <c:v>0.40144181979771132</c:v>
                </c:pt>
                <c:pt idx="16">
                  <c:v>0.45506992521378142</c:v>
                </c:pt>
                <c:pt idx="17">
                  <c:v>0.51205619530854585</c:v>
                </c:pt>
                <c:pt idx="18">
                  <c:v>0.57240063008200492</c:v>
                </c:pt>
                <c:pt idx="19">
                  <c:v>0.63610322953415843</c:v>
                </c:pt>
              </c:numCache>
            </c:numRef>
          </c:yVal>
          <c:smooth val="0"/>
          <c:extLst>
            <c:ext xmlns:c16="http://schemas.microsoft.com/office/drawing/2014/chart" uri="{C3380CC4-5D6E-409C-BE32-E72D297353CC}">
              <c16:uniqueId val="{00000007-001D-41A4-A96E-5E94A6BDDD0D}"/>
            </c:ext>
          </c:extLst>
        </c:ser>
        <c:ser>
          <c:idx val="2"/>
          <c:order val="2"/>
          <c:tx>
            <c:v>U+</c:v>
          </c:tx>
          <c:spPr>
            <a:ln w="12700" cap="rnd">
              <a:solidFill>
                <a:schemeClr val="accent5"/>
              </a:solidFill>
              <a:round/>
            </a:ln>
            <a:effectLst/>
          </c:spPr>
          <c:marker>
            <c:symbol val="circle"/>
            <c:size val="5"/>
            <c:spPr>
              <a:noFill/>
              <a:ln w="9525">
                <a:noFill/>
              </a:ln>
              <a:effectLst/>
            </c:spPr>
          </c:marker>
          <c:xVal>
            <c:numRef>
              <c:f>'V1 Reliability Target'!$P$20:$P$39</c:f>
              <c:numCache>
                <c:formatCode>General</c:formatCode>
                <c:ptCount val="20"/>
                <c:pt idx="0">
                  <c:v>0</c:v>
                </c:pt>
                <c:pt idx="1">
                  <c:v>10.015789473684212</c:v>
                </c:pt>
                <c:pt idx="2">
                  <c:v>20.031578947368423</c:v>
                </c:pt>
                <c:pt idx="3">
                  <c:v>30.047368421052635</c:v>
                </c:pt>
                <c:pt idx="4">
                  <c:v>40.063157894736847</c:v>
                </c:pt>
                <c:pt idx="5">
                  <c:v>50.078947368421055</c:v>
                </c:pt>
                <c:pt idx="6">
                  <c:v>60.094736842105263</c:v>
                </c:pt>
                <c:pt idx="7">
                  <c:v>70.110526315789471</c:v>
                </c:pt>
                <c:pt idx="8">
                  <c:v>80.126315789473679</c:v>
                </c:pt>
                <c:pt idx="9">
                  <c:v>90.142105263157887</c:v>
                </c:pt>
                <c:pt idx="10">
                  <c:v>100.1578947368421</c:v>
                </c:pt>
                <c:pt idx="11">
                  <c:v>110.1736842105263</c:v>
                </c:pt>
                <c:pt idx="12">
                  <c:v>120.18947368421051</c:v>
                </c:pt>
                <c:pt idx="13">
                  <c:v>130.20526315789473</c:v>
                </c:pt>
                <c:pt idx="14">
                  <c:v>140.22105263157894</c:v>
                </c:pt>
                <c:pt idx="15">
                  <c:v>150.23684210526315</c:v>
                </c:pt>
                <c:pt idx="16">
                  <c:v>160.25263157894736</c:v>
                </c:pt>
                <c:pt idx="17">
                  <c:v>170.26842105263157</c:v>
                </c:pt>
                <c:pt idx="18">
                  <c:v>180.28421052631577</c:v>
                </c:pt>
                <c:pt idx="19">
                  <c:v>190.29999999999998</c:v>
                </c:pt>
              </c:numCache>
            </c:numRef>
          </c:xVal>
          <c:yVal>
            <c:numRef>
              <c:f>'V1 Reliability Target'!$T$20:$T$39</c:f>
              <c:numCache>
                <c:formatCode>General</c:formatCode>
                <c:ptCount val="20"/>
                <c:pt idx="0">
                  <c:v>0</c:v>
                </c:pt>
                <c:pt idx="1">
                  <c:v>1.2663384916055819E-2</c:v>
                </c:pt>
                <c:pt idx="2">
                  <c:v>2.7374050369041419E-2</c:v>
                </c:pt>
                <c:pt idx="3">
                  <c:v>4.4142451148795427E-2</c:v>
                </c:pt>
                <c:pt idx="4">
                  <c:v>6.2982700535748698E-2</c:v>
                </c:pt>
                <c:pt idx="5">
                  <c:v>8.3914272196317932E-2</c:v>
                </c:pt>
                <c:pt idx="6">
                  <c:v>0.1069647093282528</c:v>
                </c:pt>
                <c:pt idx="7">
                  <c:v>0.13217407175171861</c:v>
                </c:pt>
                <c:pt idx="8">
                  <c:v>0.1596024737108499</c:v>
                </c:pt>
                <c:pt idx="9">
                  <c:v>0.18934326286090186</c:v>
                </c:pt>
                <c:pt idx="10">
                  <c:v>0.22154662402594838</c:v>
                </c:pt>
                <c:pt idx="11">
                  <c:v>0.25646197245714669</c:v>
                </c:pt>
                <c:pt idx="12">
                  <c:v>0.29450997361821157</c:v>
                </c:pt>
                <c:pt idx="13">
                  <c:v>0.33637979316635563</c:v>
                </c:pt>
                <c:pt idx="14">
                  <c:v>0.38306477207587603</c:v>
                </c:pt>
                <c:pt idx="15">
                  <c:v>0.43561490524384827</c:v>
                </c:pt>
                <c:pt idx="16">
                  <c:v>0.494608131718411</c:v>
                </c:pt>
                <c:pt idx="17">
                  <c:v>0.55995421553526847</c:v>
                </c:pt>
                <c:pt idx="18">
                  <c:v>0.63124188289865601</c:v>
                </c:pt>
                <c:pt idx="19">
                  <c:v>0.70807626104703159</c:v>
                </c:pt>
              </c:numCache>
            </c:numRef>
          </c:yVal>
          <c:smooth val="0"/>
          <c:extLst>
            <c:ext xmlns:c16="http://schemas.microsoft.com/office/drawing/2014/chart" uri="{C3380CC4-5D6E-409C-BE32-E72D297353CC}">
              <c16:uniqueId val="{00000008-001D-41A4-A96E-5E94A6BDDD0D}"/>
            </c:ext>
          </c:extLst>
        </c:ser>
        <c:ser>
          <c:idx val="3"/>
          <c:order val="3"/>
          <c:tx>
            <c:v>U-</c:v>
          </c:tx>
          <c:spPr>
            <a:ln w="12700" cap="rnd">
              <a:solidFill>
                <a:schemeClr val="accent5"/>
              </a:solidFill>
              <a:round/>
            </a:ln>
            <a:effectLst/>
          </c:spPr>
          <c:marker>
            <c:symbol val="circle"/>
            <c:size val="5"/>
            <c:spPr>
              <a:noFill/>
              <a:ln w="9525">
                <a:noFill/>
              </a:ln>
              <a:effectLst/>
            </c:spPr>
          </c:marker>
          <c:xVal>
            <c:numRef>
              <c:f>'V1 Reliability Target'!$P$20:$P$39</c:f>
              <c:numCache>
                <c:formatCode>General</c:formatCode>
                <c:ptCount val="20"/>
                <c:pt idx="0">
                  <c:v>0</c:v>
                </c:pt>
                <c:pt idx="1">
                  <c:v>10.015789473684212</c:v>
                </c:pt>
                <c:pt idx="2">
                  <c:v>20.031578947368423</c:v>
                </c:pt>
                <c:pt idx="3">
                  <c:v>30.047368421052635</c:v>
                </c:pt>
                <c:pt idx="4">
                  <c:v>40.063157894736847</c:v>
                </c:pt>
                <c:pt idx="5">
                  <c:v>50.078947368421055</c:v>
                </c:pt>
                <c:pt idx="6">
                  <c:v>60.094736842105263</c:v>
                </c:pt>
                <c:pt idx="7">
                  <c:v>70.110526315789471</c:v>
                </c:pt>
                <c:pt idx="8">
                  <c:v>80.126315789473679</c:v>
                </c:pt>
                <c:pt idx="9">
                  <c:v>90.142105263157887</c:v>
                </c:pt>
                <c:pt idx="10">
                  <c:v>100.1578947368421</c:v>
                </c:pt>
                <c:pt idx="11">
                  <c:v>110.1736842105263</c:v>
                </c:pt>
                <c:pt idx="12">
                  <c:v>120.18947368421051</c:v>
                </c:pt>
                <c:pt idx="13">
                  <c:v>130.20526315789473</c:v>
                </c:pt>
                <c:pt idx="14">
                  <c:v>140.22105263157894</c:v>
                </c:pt>
                <c:pt idx="15">
                  <c:v>150.23684210526315</c:v>
                </c:pt>
                <c:pt idx="16">
                  <c:v>160.25263157894736</c:v>
                </c:pt>
                <c:pt idx="17">
                  <c:v>170.26842105263157</c:v>
                </c:pt>
                <c:pt idx="18">
                  <c:v>180.28421052631577</c:v>
                </c:pt>
                <c:pt idx="19">
                  <c:v>190.29999999999998</c:v>
                </c:pt>
              </c:numCache>
            </c:numRef>
          </c:xVal>
          <c:yVal>
            <c:numRef>
              <c:f>'V1 Reliability Target'!$S$20:$S$39</c:f>
              <c:numCache>
                <c:formatCode>General</c:formatCode>
                <c:ptCount val="20"/>
                <c:pt idx="0">
                  <c:v>0</c:v>
                </c:pt>
                <c:pt idx="1">
                  <c:v>-6.1521144447505473E-3</c:v>
                </c:pt>
                <c:pt idx="2">
                  <c:v>-7.6351800690418834E-3</c:v>
                </c:pt>
                <c:pt idx="3">
                  <c:v>-4.4596516627126367E-3</c:v>
                </c:pt>
                <c:pt idx="4">
                  <c:v>3.3603574938063166E-3</c:v>
                </c:pt>
                <c:pt idx="5">
                  <c:v>1.5805373734098307E-2</c:v>
                </c:pt>
                <c:pt idx="6">
                  <c:v>3.2847853860413639E-2</c:v>
                </c:pt>
                <c:pt idx="7">
                  <c:v>5.4447738052587021E-2</c:v>
                </c:pt>
                <c:pt idx="8">
                  <c:v>8.0544912066483898E-2</c:v>
                </c:pt>
                <c:pt idx="9">
                  <c:v>0.11104602824684905</c:v>
                </c:pt>
                <c:pt idx="10">
                  <c:v>0.14580090176960869</c:v>
                </c:pt>
                <c:pt idx="11">
                  <c:v>0.18456011738360548</c:v>
                </c:pt>
                <c:pt idx="12">
                  <c:v>0.22690300962512472</c:v>
                </c:pt>
                <c:pt idx="13">
                  <c:v>0.27214041283695395</c:v>
                </c:pt>
                <c:pt idx="14">
                  <c:v>0.3192789860447956</c:v>
                </c:pt>
                <c:pt idx="15">
                  <c:v>0.36726873435157437</c:v>
                </c:pt>
                <c:pt idx="16">
                  <c:v>0.41553171870915184</c:v>
                </c:pt>
                <c:pt idx="17">
                  <c:v>0.46415817508182322</c:v>
                </c:pt>
                <c:pt idx="18">
                  <c:v>0.51355937726535383</c:v>
                </c:pt>
                <c:pt idx="19">
                  <c:v>0.56413019802128528</c:v>
                </c:pt>
              </c:numCache>
            </c:numRef>
          </c:yVal>
          <c:smooth val="0"/>
          <c:extLst>
            <c:ext xmlns:c16="http://schemas.microsoft.com/office/drawing/2014/chart" uri="{C3380CC4-5D6E-409C-BE32-E72D297353CC}">
              <c16:uniqueId val="{00000009-001D-41A4-A96E-5E94A6BDDD0D}"/>
            </c:ext>
          </c:extLst>
        </c:ser>
        <c:dLbls>
          <c:showLegendKey val="0"/>
          <c:showVal val="0"/>
          <c:showCatName val="0"/>
          <c:showSerName val="0"/>
          <c:showPercent val="0"/>
          <c:showBubbleSize val="0"/>
        </c:dLbls>
        <c:axId val="311198560"/>
        <c:axId val="311193760"/>
      </c:scatterChart>
      <c:valAx>
        <c:axId val="31119856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Resubmission 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1193760"/>
        <c:crosses val="autoZero"/>
        <c:crossBetween val="midCat"/>
      </c:valAx>
      <c:valAx>
        <c:axId val="3111937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Predicted Value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1198560"/>
        <c:crosses val="autoZero"/>
        <c:crossBetween val="midCat"/>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Uncertainty Growth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v>Uncertainty</c:v>
          </c:tx>
          <c:spPr>
            <a:ln w="19050" cap="rnd">
              <a:solidFill>
                <a:schemeClr val="accent1"/>
              </a:solidFill>
              <a:round/>
            </a:ln>
            <a:effectLst/>
          </c:spPr>
          <c:marker>
            <c:symbol val="none"/>
          </c:marker>
          <c:xVal>
            <c:numRef>
              <c:f>'V1 Uncertainty Target'!$J$18:$J$37</c:f>
              <c:numCache>
                <c:formatCode>General</c:formatCode>
                <c:ptCount val="20"/>
                <c:pt idx="0">
                  <c:v>0</c:v>
                </c:pt>
                <c:pt idx="1">
                  <c:v>22.763157894736842</c:v>
                </c:pt>
                <c:pt idx="2">
                  <c:v>45.526315789473685</c:v>
                </c:pt>
                <c:pt idx="3">
                  <c:v>68.28947368421052</c:v>
                </c:pt>
                <c:pt idx="4">
                  <c:v>91.05263157894737</c:v>
                </c:pt>
                <c:pt idx="5">
                  <c:v>113.81578947368422</c:v>
                </c:pt>
                <c:pt idx="6">
                  <c:v>136.57894736842107</c:v>
                </c:pt>
                <c:pt idx="7">
                  <c:v>159.34210526315792</c:v>
                </c:pt>
                <c:pt idx="8">
                  <c:v>182.10526315789477</c:v>
                </c:pt>
                <c:pt idx="9">
                  <c:v>204.86842105263162</c:v>
                </c:pt>
                <c:pt idx="10">
                  <c:v>227.63157894736847</c:v>
                </c:pt>
                <c:pt idx="11">
                  <c:v>250.39473684210532</c:v>
                </c:pt>
                <c:pt idx="12">
                  <c:v>273.15789473684214</c:v>
                </c:pt>
                <c:pt idx="13">
                  <c:v>295.92105263157896</c:v>
                </c:pt>
                <c:pt idx="14">
                  <c:v>318.68421052631578</c:v>
                </c:pt>
                <c:pt idx="15">
                  <c:v>341.4473684210526</c:v>
                </c:pt>
                <c:pt idx="16">
                  <c:v>364.21052631578942</c:v>
                </c:pt>
                <c:pt idx="17">
                  <c:v>386.97368421052624</c:v>
                </c:pt>
                <c:pt idx="18">
                  <c:v>409.73684210526307</c:v>
                </c:pt>
                <c:pt idx="19">
                  <c:v>432.49999999999989</c:v>
                </c:pt>
              </c:numCache>
            </c:numRef>
          </c:xVal>
          <c:yVal>
            <c:numRef>
              <c:f>'V1 Uncertainty Target'!$K$18:$K$37</c:f>
              <c:numCache>
                <c:formatCode>General</c:formatCode>
                <c:ptCount val="20"/>
                <c:pt idx="0">
                  <c:v>0.28000000000000003</c:v>
                </c:pt>
                <c:pt idx="1">
                  <c:v>0.28067726871288023</c:v>
                </c:pt>
                <c:pt idx="2">
                  <c:v>0.28185470741510271</c:v>
                </c:pt>
                <c:pt idx="3">
                  <c:v>0.28265110763442802</c:v>
                </c:pt>
                <c:pt idx="4">
                  <c:v>0.28271224434010922</c:v>
                </c:pt>
                <c:pt idx="5">
                  <c:v>0.28219974147638327</c:v>
                </c:pt>
                <c:pt idx="6">
                  <c:v>0.28179278668911745</c:v>
                </c:pt>
                <c:pt idx="7">
                  <c:v>0.28269222860231036</c:v>
                </c:pt>
                <c:pt idx="8">
                  <c:v>0.2865837718743971</c:v>
                </c:pt>
                <c:pt idx="9">
                  <c:v>0.29549419510489827</c:v>
                </c:pt>
                <c:pt idx="10">
                  <c:v>0.31149846828924876</c:v>
                </c:pt>
                <c:pt idx="11">
                  <c:v>0.33633846406960677</c:v>
                </c:pt>
                <c:pt idx="12">
                  <c:v>0.37112888948221923</c:v>
                </c:pt>
                <c:pt idx="13">
                  <c:v>0.41630128270074324</c:v>
                </c:pt>
                <c:pt idx="14">
                  <c:v>0.4717660739639295</c:v>
                </c:pt>
                <c:pt idx="15">
                  <c:v>0.53714855738422018</c:v>
                </c:pt>
                <c:pt idx="16">
                  <c:v>0.61197913136018189</c:v>
                </c:pt>
                <c:pt idx="17">
                  <c:v>0.69580292271059607</c:v>
                </c:pt>
                <c:pt idx="18">
                  <c:v>0.78822605026761539</c:v>
                </c:pt>
                <c:pt idx="19">
                  <c:v>0.88892597910263105</c:v>
                </c:pt>
              </c:numCache>
            </c:numRef>
          </c:yVal>
          <c:smooth val="1"/>
          <c:extLst>
            <c:ext xmlns:c16="http://schemas.microsoft.com/office/drawing/2014/chart" uri="{C3380CC4-5D6E-409C-BE32-E72D297353CC}">
              <c16:uniqueId val="{00000000-BA55-4D49-8E17-EBD8C4CBE3FE}"/>
            </c:ext>
          </c:extLst>
        </c:ser>
        <c:ser>
          <c:idx val="1"/>
          <c:order val="1"/>
          <c:tx>
            <c:v>Target</c:v>
          </c:tx>
          <c:spPr>
            <a:ln w="19050" cap="rnd">
              <a:solidFill>
                <a:schemeClr val="accent2"/>
              </a:solidFill>
              <a:round/>
            </a:ln>
            <a:effectLst/>
          </c:spPr>
          <c:marker>
            <c:symbol val="none"/>
          </c:marker>
          <c:xVal>
            <c:numRef>
              <c:f>'V1 Uncertainty Target'!$M$18:$M$19</c:f>
              <c:numCache>
                <c:formatCode>General</c:formatCode>
                <c:ptCount val="2"/>
                <c:pt idx="0">
                  <c:v>0</c:v>
                </c:pt>
                <c:pt idx="1">
                  <c:v>432.5</c:v>
                </c:pt>
              </c:numCache>
            </c:numRef>
          </c:xVal>
          <c:yVal>
            <c:numRef>
              <c:f>'V1 Uncertainty Target'!$N$18:$N$19</c:f>
              <c:numCache>
                <c:formatCode>General</c:formatCode>
                <c:ptCount val="2"/>
                <c:pt idx="0">
                  <c:v>0.5</c:v>
                </c:pt>
                <c:pt idx="1">
                  <c:v>0.5</c:v>
                </c:pt>
              </c:numCache>
            </c:numRef>
          </c:yVal>
          <c:smooth val="1"/>
          <c:extLst>
            <c:ext xmlns:c16="http://schemas.microsoft.com/office/drawing/2014/chart" uri="{C3380CC4-5D6E-409C-BE32-E72D297353CC}">
              <c16:uniqueId val="{0000000E-BA55-4D49-8E17-EBD8C4CBE3FE}"/>
            </c:ext>
          </c:extLst>
        </c:ser>
        <c:ser>
          <c:idx val="2"/>
          <c:order val="2"/>
          <c:tx>
            <c:v>Interval</c:v>
          </c:tx>
          <c:spPr>
            <a:ln w="19050" cap="rnd">
              <a:solidFill>
                <a:schemeClr val="accent3"/>
              </a:solidFill>
              <a:round/>
            </a:ln>
            <a:effectLst/>
          </c:spPr>
          <c:marker>
            <c:symbol val="none"/>
          </c:marker>
          <c:xVal>
            <c:numRef>
              <c:f>'V1 Uncertainty Target'!$M$22:$M$23</c:f>
              <c:numCache>
                <c:formatCode>0.00</c:formatCode>
                <c:ptCount val="2"/>
                <c:pt idx="0">
                  <c:v>328.7755126953125</c:v>
                </c:pt>
                <c:pt idx="1">
                  <c:v>328.7755126953125</c:v>
                </c:pt>
              </c:numCache>
            </c:numRef>
          </c:xVal>
          <c:yVal>
            <c:numRef>
              <c:f>'V1 Uncertainty Target'!$N$22:$N$23</c:f>
              <c:numCache>
                <c:formatCode>General</c:formatCode>
                <c:ptCount val="2"/>
                <c:pt idx="0">
                  <c:v>0</c:v>
                </c:pt>
                <c:pt idx="1">
                  <c:v>0.88892597910263105</c:v>
                </c:pt>
              </c:numCache>
            </c:numRef>
          </c:yVal>
          <c:smooth val="1"/>
          <c:extLst>
            <c:ext xmlns:c16="http://schemas.microsoft.com/office/drawing/2014/chart" uri="{C3380CC4-5D6E-409C-BE32-E72D297353CC}">
              <c16:uniqueId val="{0000000F-BA55-4D49-8E17-EBD8C4CBE3FE}"/>
            </c:ext>
          </c:extLst>
        </c:ser>
        <c:dLbls>
          <c:showLegendKey val="0"/>
          <c:showVal val="0"/>
          <c:showCatName val="0"/>
          <c:showSerName val="0"/>
          <c:showPercent val="0"/>
          <c:showBubbleSize val="0"/>
        </c:dLbls>
        <c:axId val="2102859616"/>
        <c:axId val="2102862016"/>
      </c:scatterChart>
      <c:valAx>
        <c:axId val="210285961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Resubmission 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2862016"/>
        <c:crosses val="autoZero"/>
        <c:crossBetween val="midCat"/>
      </c:valAx>
      <c:valAx>
        <c:axId val="21028620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Uncertainty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2859616"/>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Drift Data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38100" cap="rnd">
              <a:noFill/>
              <a:round/>
            </a:ln>
            <a:effectLst/>
          </c:spPr>
          <c:marker>
            <c:symbol val="circle"/>
            <c:size val="5"/>
            <c:spPr>
              <a:solidFill>
                <a:schemeClr val="accent1"/>
              </a:solidFill>
              <a:ln w="9525">
                <a:solidFill>
                  <a:schemeClr val="accent1"/>
                </a:solidFill>
              </a:ln>
              <a:effectLst/>
            </c:spPr>
          </c:marker>
          <c:xVal>
            <c:numRef>
              <c:f>'V1 Uncertainty Target'!$F$5:$F$10</c:f>
              <c:numCache>
                <c:formatCode>General</c:formatCode>
                <c:ptCount val="6"/>
                <c:pt idx="0">
                  <c:v>86</c:v>
                </c:pt>
                <c:pt idx="1">
                  <c:v>135</c:v>
                </c:pt>
                <c:pt idx="2">
                  <c:v>70</c:v>
                </c:pt>
                <c:pt idx="3">
                  <c:v>173</c:v>
                </c:pt>
                <c:pt idx="4">
                  <c:v>167</c:v>
                </c:pt>
              </c:numCache>
            </c:numRef>
          </c:xVal>
          <c:yVal>
            <c:numRef>
              <c:f>'V1 Uncertainty Target'!$G$5:$G$10</c:f>
              <c:numCache>
                <c:formatCode>0.000</c:formatCode>
                <c:ptCount val="6"/>
                <c:pt idx="0">
                  <c:v>0.10999999999999943</c:v>
                </c:pt>
                <c:pt idx="1">
                  <c:v>0.29899999999999949</c:v>
                </c:pt>
                <c:pt idx="2">
                  <c:v>0.10000000000000142</c:v>
                </c:pt>
                <c:pt idx="3">
                  <c:v>0.61500000000000021</c:v>
                </c:pt>
                <c:pt idx="4">
                  <c:v>0.40300000000000047</c:v>
                </c:pt>
              </c:numCache>
            </c:numRef>
          </c:yVal>
          <c:smooth val="0"/>
          <c:extLst>
            <c:ext xmlns:c16="http://schemas.microsoft.com/office/drawing/2014/chart" uri="{C3380CC4-5D6E-409C-BE32-E72D297353CC}">
              <c16:uniqueId val="{00000000-D4AA-48C5-9C64-CFD66135B6CA}"/>
            </c:ext>
          </c:extLst>
        </c:ser>
        <c:ser>
          <c:idx val="1"/>
          <c:order val="1"/>
          <c:tx>
            <c:v>Predicted</c:v>
          </c:tx>
          <c:spPr>
            <a:ln w="25400" cap="rnd">
              <a:solidFill>
                <a:schemeClr val="accent2"/>
              </a:solidFill>
              <a:round/>
            </a:ln>
            <a:effectLst/>
          </c:spPr>
          <c:marker>
            <c:symbol val="none"/>
          </c:marker>
          <c:xVal>
            <c:numRef>
              <c:f>'V1 Uncertainty Target'!$P$18:$P$37</c:f>
              <c:numCache>
                <c:formatCode>General</c:formatCode>
                <c:ptCount val="20"/>
                <c:pt idx="0">
                  <c:v>0</c:v>
                </c:pt>
                <c:pt idx="1">
                  <c:v>10.015789473684212</c:v>
                </c:pt>
                <c:pt idx="2">
                  <c:v>20.031578947368423</c:v>
                </c:pt>
                <c:pt idx="3">
                  <c:v>30.047368421052635</c:v>
                </c:pt>
                <c:pt idx="4">
                  <c:v>40.063157894736847</c:v>
                </c:pt>
                <c:pt idx="5">
                  <c:v>50.078947368421055</c:v>
                </c:pt>
                <c:pt idx="6">
                  <c:v>60.094736842105263</c:v>
                </c:pt>
                <c:pt idx="7">
                  <c:v>70.110526315789471</c:v>
                </c:pt>
                <c:pt idx="8">
                  <c:v>80.126315789473679</c:v>
                </c:pt>
                <c:pt idx="9">
                  <c:v>90.142105263157887</c:v>
                </c:pt>
                <c:pt idx="10">
                  <c:v>100.1578947368421</c:v>
                </c:pt>
                <c:pt idx="11">
                  <c:v>110.1736842105263</c:v>
                </c:pt>
                <c:pt idx="12">
                  <c:v>120.18947368421051</c:v>
                </c:pt>
                <c:pt idx="13">
                  <c:v>130.20526315789473</c:v>
                </c:pt>
                <c:pt idx="14">
                  <c:v>140.22105263157894</c:v>
                </c:pt>
                <c:pt idx="15">
                  <c:v>150.23684210526315</c:v>
                </c:pt>
                <c:pt idx="16">
                  <c:v>160.25263157894736</c:v>
                </c:pt>
                <c:pt idx="17">
                  <c:v>170.26842105263157</c:v>
                </c:pt>
                <c:pt idx="18">
                  <c:v>180.28421052631577</c:v>
                </c:pt>
                <c:pt idx="19">
                  <c:v>190.29999999999998</c:v>
                </c:pt>
              </c:numCache>
            </c:numRef>
          </c:xVal>
          <c:yVal>
            <c:numRef>
              <c:f>'V1 Uncertainty Target'!$Q$18:$Q$37</c:f>
              <c:numCache>
                <c:formatCode>General</c:formatCode>
                <c:ptCount val="20"/>
                <c:pt idx="0">
                  <c:v>0</c:v>
                </c:pt>
                <c:pt idx="1">
                  <c:v>3.2556352356526361E-3</c:v>
                </c:pt>
                <c:pt idx="2">
                  <c:v>9.8694351499997671E-3</c:v>
                </c:pt>
                <c:pt idx="3">
                  <c:v>1.9841399743041395E-2</c:v>
                </c:pt>
                <c:pt idx="4">
                  <c:v>3.3171529014777511E-2</c:v>
                </c:pt>
                <c:pt idx="5">
                  <c:v>4.985982296520812E-2</c:v>
                </c:pt>
                <c:pt idx="6">
                  <c:v>6.9906281594333222E-2</c:v>
                </c:pt>
                <c:pt idx="7">
                  <c:v>9.3310904902152811E-2</c:v>
                </c:pt>
                <c:pt idx="8">
                  <c:v>0.1200736928886669</c:v>
                </c:pt>
                <c:pt idx="9">
                  <c:v>0.15019464555387546</c:v>
                </c:pt>
                <c:pt idx="10">
                  <c:v>0.18367376289777854</c:v>
                </c:pt>
                <c:pt idx="11">
                  <c:v>0.2205110449203761</c:v>
                </c:pt>
                <c:pt idx="12">
                  <c:v>0.26070649162166815</c:v>
                </c:pt>
                <c:pt idx="13">
                  <c:v>0.30426010300165479</c:v>
                </c:pt>
                <c:pt idx="14">
                  <c:v>0.35117187906033581</c:v>
                </c:pt>
                <c:pt idx="15">
                  <c:v>0.40144181979771132</c:v>
                </c:pt>
                <c:pt idx="16">
                  <c:v>0.45506992521378142</c:v>
                </c:pt>
                <c:pt idx="17">
                  <c:v>0.51205619530854585</c:v>
                </c:pt>
                <c:pt idx="18">
                  <c:v>0.57240063008200492</c:v>
                </c:pt>
                <c:pt idx="19">
                  <c:v>0.63610322953415843</c:v>
                </c:pt>
              </c:numCache>
            </c:numRef>
          </c:yVal>
          <c:smooth val="0"/>
          <c:extLst>
            <c:ext xmlns:c16="http://schemas.microsoft.com/office/drawing/2014/chart" uri="{C3380CC4-5D6E-409C-BE32-E72D297353CC}">
              <c16:uniqueId val="{00000001-D4AA-48C5-9C64-CFD66135B6CA}"/>
            </c:ext>
          </c:extLst>
        </c:ser>
        <c:ser>
          <c:idx val="2"/>
          <c:order val="2"/>
          <c:tx>
            <c:v>Uncertainty -</c:v>
          </c:tx>
          <c:spPr>
            <a:ln w="12700" cap="rnd">
              <a:solidFill>
                <a:schemeClr val="accent5"/>
              </a:solidFill>
              <a:round/>
            </a:ln>
            <a:effectLst/>
          </c:spPr>
          <c:marker>
            <c:symbol val="none"/>
          </c:marker>
          <c:xVal>
            <c:numRef>
              <c:f>'V1 Uncertainty Target'!$P$18:$P$37</c:f>
              <c:numCache>
                <c:formatCode>General</c:formatCode>
                <c:ptCount val="20"/>
                <c:pt idx="0">
                  <c:v>0</c:v>
                </c:pt>
                <c:pt idx="1">
                  <c:v>10.015789473684212</c:v>
                </c:pt>
                <c:pt idx="2">
                  <c:v>20.031578947368423</c:v>
                </c:pt>
                <c:pt idx="3">
                  <c:v>30.047368421052635</c:v>
                </c:pt>
                <c:pt idx="4">
                  <c:v>40.063157894736847</c:v>
                </c:pt>
                <c:pt idx="5">
                  <c:v>50.078947368421055</c:v>
                </c:pt>
                <c:pt idx="6">
                  <c:v>60.094736842105263</c:v>
                </c:pt>
                <c:pt idx="7">
                  <c:v>70.110526315789471</c:v>
                </c:pt>
                <c:pt idx="8">
                  <c:v>80.126315789473679</c:v>
                </c:pt>
                <c:pt idx="9">
                  <c:v>90.142105263157887</c:v>
                </c:pt>
                <c:pt idx="10">
                  <c:v>100.1578947368421</c:v>
                </c:pt>
                <c:pt idx="11">
                  <c:v>110.1736842105263</c:v>
                </c:pt>
                <c:pt idx="12">
                  <c:v>120.18947368421051</c:v>
                </c:pt>
                <c:pt idx="13">
                  <c:v>130.20526315789473</c:v>
                </c:pt>
                <c:pt idx="14">
                  <c:v>140.22105263157894</c:v>
                </c:pt>
                <c:pt idx="15">
                  <c:v>150.23684210526315</c:v>
                </c:pt>
                <c:pt idx="16">
                  <c:v>160.25263157894736</c:v>
                </c:pt>
                <c:pt idx="17">
                  <c:v>170.26842105263157</c:v>
                </c:pt>
                <c:pt idx="18">
                  <c:v>180.28421052631577</c:v>
                </c:pt>
                <c:pt idx="19">
                  <c:v>190.29999999999998</c:v>
                </c:pt>
              </c:numCache>
            </c:numRef>
          </c:xVal>
          <c:yVal>
            <c:numRef>
              <c:f>'V1 Uncertainty Target'!$S$18:$S$37</c:f>
              <c:numCache>
                <c:formatCode>General</c:formatCode>
                <c:ptCount val="20"/>
                <c:pt idx="0">
                  <c:v>0</c:v>
                </c:pt>
                <c:pt idx="1">
                  <c:v>-6.1521144447505473E-3</c:v>
                </c:pt>
                <c:pt idx="2">
                  <c:v>-7.6351800690418834E-3</c:v>
                </c:pt>
                <c:pt idx="3">
                  <c:v>-4.4596516627126367E-3</c:v>
                </c:pt>
                <c:pt idx="4">
                  <c:v>3.3603574938063166E-3</c:v>
                </c:pt>
                <c:pt idx="5">
                  <c:v>1.5805373734098307E-2</c:v>
                </c:pt>
                <c:pt idx="6">
                  <c:v>3.2847853860413639E-2</c:v>
                </c:pt>
                <c:pt idx="7">
                  <c:v>5.4447738052587021E-2</c:v>
                </c:pt>
                <c:pt idx="8">
                  <c:v>8.0544912066483898E-2</c:v>
                </c:pt>
                <c:pt idx="9">
                  <c:v>0.11104602824684905</c:v>
                </c:pt>
                <c:pt idx="10">
                  <c:v>0.14580090176960869</c:v>
                </c:pt>
                <c:pt idx="11">
                  <c:v>0.18456011738360548</c:v>
                </c:pt>
                <c:pt idx="12">
                  <c:v>0.22690300962512472</c:v>
                </c:pt>
                <c:pt idx="13">
                  <c:v>0.27214041283695395</c:v>
                </c:pt>
                <c:pt idx="14">
                  <c:v>0.3192789860447956</c:v>
                </c:pt>
                <c:pt idx="15">
                  <c:v>0.36726873435157437</c:v>
                </c:pt>
                <c:pt idx="16">
                  <c:v>0.41553171870915184</c:v>
                </c:pt>
                <c:pt idx="17">
                  <c:v>0.46415817508182322</c:v>
                </c:pt>
                <c:pt idx="18">
                  <c:v>0.51355937726535383</c:v>
                </c:pt>
                <c:pt idx="19">
                  <c:v>0.56413019802128528</c:v>
                </c:pt>
              </c:numCache>
            </c:numRef>
          </c:yVal>
          <c:smooth val="0"/>
          <c:extLst>
            <c:ext xmlns:c16="http://schemas.microsoft.com/office/drawing/2014/chart" uri="{C3380CC4-5D6E-409C-BE32-E72D297353CC}">
              <c16:uniqueId val="{00000002-D4AA-48C5-9C64-CFD66135B6CA}"/>
            </c:ext>
          </c:extLst>
        </c:ser>
        <c:ser>
          <c:idx val="3"/>
          <c:order val="3"/>
          <c:tx>
            <c:v>Uncertainty +</c:v>
          </c:tx>
          <c:spPr>
            <a:ln w="12700" cap="rnd">
              <a:solidFill>
                <a:schemeClr val="accent5"/>
              </a:solidFill>
              <a:round/>
            </a:ln>
            <a:effectLst/>
          </c:spPr>
          <c:marker>
            <c:symbol val="none"/>
          </c:marker>
          <c:xVal>
            <c:numRef>
              <c:f>'V1 Uncertainty Target'!$P$18:$P$37</c:f>
              <c:numCache>
                <c:formatCode>General</c:formatCode>
                <c:ptCount val="20"/>
                <c:pt idx="0">
                  <c:v>0</c:v>
                </c:pt>
                <c:pt idx="1">
                  <c:v>10.015789473684212</c:v>
                </c:pt>
                <c:pt idx="2">
                  <c:v>20.031578947368423</c:v>
                </c:pt>
                <c:pt idx="3">
                  <c:v>30.047368421052635</c:v>
                </c:pt>
                <c:pt idx="4">
                  <c:v>40.063157894736847</c:v>
                </c:pt>
                <c:pt idx="5">
                  <c:v>50.078947368421055</c:v>
                </c:pt>
                <c:pt idx="6">
                  <c:v>60.094736842105263</c:v>
                </c:pt>
                <c:pt idx="7">
                  <c:v>70.110526315789471</c:v>
                </c:pt>
                <c:pt idx="8">
                  <c:v>80.126315789473679</c:v>
                </c:pt>
                <c:pt idx="9">
                  <c:v>90.142105263157887</c:v>
                </c:pt>
                <c:pt idx="10">
                  <c:v>100.1578947368421</c:v>
                </c:pt>
                <c:pt idx="11">
                  <c:v>110.1736842105263</c:v>
                </c:pt>
                <c:pt idx="12">
                  <c:v>120.18947368421051</c:v>
                </c:pt>
                <c:pt idx="13">
                  <c:v>130.20526315789473</c:v>
                </c:pt>
                <c:pt idx="14">
                  <c:v>140.22105263157894</c:v>
                </c:pt>
                <c:pt idx="15">
                  <c:v>150.23684210526315</c:v>
                </c:pt>
                <c:pt idx="16">
                  <c:v>160.25263157894736</c:v>
                </c:pt>
                <c:pt idx="17">
                  <c:v>170.26842105263157</c:v>
                </c:pt>
                <c:pt idx="18">
                  <c:v>180.28421052631577</c:v>
                </c:pt>
                <c:pt idx="19">
                  <c:v>190.29999999999998</c:v>
                </c:pt>
              </c:numCache>
            </c:numRef>
          </c:xVal>
          <c:yVal>
            <c:numRef>
              <c:f>'V1 Uncertainty Target'!$T$18:$T$37</c:f>
              <c:numCache>
                <c:formatCode>General</c:formatCode>
                <c:ptCount val="20"/>
                <c:pt idx="0">
                  <c:v>0</c:v>
                </c:pt>
                <c:pt idx="1">
                  <c:v>1.2663384916055819E-2</c:v>
                </c:pt>
                <c:pt idx="2">
                  <c:v>2.7374050369041419E-2</c:v>
                </c:pt>
                <c:pt idx="3">
                  <c:v>4.4142451148795427E-2</c:v>
                </c:pt>
                <c:pt idx="4">
                  <c:v>6.2982700535748698E-2</c:v>
                </c:pt>
                <c:pt idx="5">
                  <c:v>8.3914272196317932E-2</c:v>
                </c:pt>
                <c:pt idx="6">
                  <c:v>0.1069647093282528</c:v>
                </c:pt>
                <c:pt idx="7">
                  <c:v>0.13217407175171861</c:v>
                </c:pt>
                <c:pt idx="8">
                  <c:v>0.1596024737108499</c:v>
                </c:pt>
                <c:pt idx="9">
                  <c:v>0.18934326286090186</c:v>
                </c:pt>
                <c:pt idx="10">
                  <c:v>0.22154662402594838</c:v>
                </c:pt>
                <c:pt idx="11">
                  <c:v>0.25646197245714669</c:v>
                </c:pt>
                <c:pt idx="12">
                  <c:v>0.29450997361821157</c:v>
                </c:pt>
                <c:pt idx="13">
                  <c:v>0.33637979316635563</c:v>
                </c:pt>
                <c:pt idx="14">
                  <c:v>0.38306477207587603</c:v>
                </c:pt>
                <c:pt idx="15">
                  <c:v>0.43561490524384827</c:v>
                </c:pt>
                <c:pt idx="16">
                  <c:v>0.494608131718411</c:v>
                </c:pt>
                <c:pt idx="17">
                  <c:v>0.55995421553526847</c:v>
                </c:pt>
                <c:pt idx="18">
                  <c:v>0.63124188289865601</c:v>
                </c:pt>
                <c:pt idx="19">
                  <c:v>0.70807626104703159</c:v>
                </c:pt>
              </c:numCache>
            </c:numRef>
          </c:yVal>
          <c:smooth val="0"/>
          <c:extLst>
            <c:ext xmlns:c16="http://schemas.microsoft.com/office/drawing/2014/chart" uri="{C3380CC4-5D6E-409C-BE32-E72D297353CC}">
              <c16:uniqueId val="{00000003-D4AA-48C5-9C64-CFD66135B6CA}"/>
            </c:ext>
          </c:extLst>
        </c:ser>
        <c:dLbls>
          <c:showLegendKey val="0"/>
          <c:showVal val="0"/>
          <c:showCatName val="0"/>
          <c:showSerName val="0"/>
          <c:showPercent val="0"/>
          <c:showBubbleSize val="0"/>
        </c:dLbls>
        <c:axId val="311198560"/>
        <c:axId val="311193760"/>
      </c:scatterChart>
      <c:valAx>
        <c:axId val="31119856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Resubmission 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1193760"/>
        <c:crosses val="autoZero"/>
        <c:crossBetween val="midCat"/>
      </c:valAx>
      <c:valAx>
        <c:axId val="3111937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Predicted Value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1198560"/>
        <c:crosses val="autoZero"/>
        <c:crossBetween val="midCat"/>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3</xdr:col>
      <xdr:colOff>461961</xdr:colOff>
      <xdr:row>10</xdr:row>
      <xdr:rowOff>128586</xdr:rowOff>
    </xdr:from>
    <xdr:to>
      <xdr:col>11</xdr:col>
      <xdr:colOff>581024</xdr:colOff>
      <xdr:row>30</xdr:row>
      <xdr:rowOff>57149</xdr:rowOff>
    </xdr:to>
    <xdr:graphicFrame macro="">
      <xdr:nvGraphicFramePr>
        <xdr:cNvPr id="2" name="Chart 1">
          <a:extLst>
            <a:ext uri="{FF2B5EF4-FFF2-40B4-BE49-F238E27FC236}">
              <a16:creationId xmlns:a16="http://schemas.microsoft.com/office/drawing/2014/main" id="{334D9FB0-5AE0-721B-B1BC-5629530EE5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519111</xdr:colOff>
      <xdr:row>6</xdr:row>
      <xdr:rowOff>147636</xdr:rowOff>
    </xdr:from>
    <xdr:to>
      <xdr:col>11</xdr:col>
      <xdr:colOff>561974</xdr:colOff>
      <xdr:row>26</xdr:row>
      <xdr:rowOff>76199</xdr:rowOff>
    </xdr:to>
    <xdr:graphicFrame macro="">
      <xdr:nvGraphicFramePr>
        <xdr:cNvPr id="2" name="Chart 1">
          <a:extLst>
            <a:ext uri="{FF2B5EF4-FFF2-40B4-BE49-F238E27FC236}">
              <a16:creationId xmlns:a16="http://schemas.microsoft.com/office/drawing/2014/main" id="{FF9FB43E-33E2-4A9E-AF7A-A069EB024E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190500</xdr:colOff>
      <xdr:row>15</xdr:row>
      <xdr:rowOff>1</xdr:rowOff>
    </xdr:from>
    <xdr:to>
      <xdr:col>9</xdr:col>
      <xdr:colOff>514350</xdr:colOff>
      <xdr:row>69</xdr:row>
      <xdr:rowOff>104775</xdr:rowOff>
    </xdr:to>
    <xdr:graphicFrame macro="">
      <xdr:nvGraphicFramePr>
        <xdr:cNvPr id="2" name="Chart 1">
          <a:extLst>
            <a:ext uri="{FF2B5EF4-FFF2-40B4-BE49-F238E27FC236}">
              <a16:creationId xmlns:a16="http://schemas.microsoft.com/office/drawing/2014/main" id="{683AB92F-C94C-8C13-CCE9-E0F67F476B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80962</xdr:colOff>
      <xdr:row>16</xdr:row>
      <xdr:rowOff>28575</xdr:rowOff>
    </xdr:from>
    <xdr:to>
      <xdr:col>9</xdr:col>
      <xdr:colOff>466725</xdr:colOff>
      <xdr:row>58</xdr:row>
      <xdr:rowOff>28575</xdr:rowOff>
    </xdr:to>
    <xdr:graphicFrame macro="">
      <xdr:nvGraphicFramePr>
        <xdr:cNvPr id="2" name="Chart 1">
          <a:extLst>
            <a:ext uri="{FF2B5EF4-FFF2-40B4-BE49-F238E27FC236}">
              <a16:creationId xmlns:a16="http://schemas.microsoft.com/office/drawing/2014/main" id="{4C082C6E-5451-E079-D4EC-6CED4924EB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571499</xdr:colOff>
      <xdr:row>16</xdr:row>
      <xdr:rowOff>38098</xdr:rowOff>
    </xdr:from>
    <xdr:to>
      <xdr:col>15</xdr:col>
      <xdr:colOff>533399</xdr:colOff>
      <xdr:row>58</xdr:row>
      <xdr:rowOff>38099</xdr:rowOff>
    </xdr:to>
    <xdr:graphicFrame macro="">
      <xdr:nvGraphicFramePr>
        <xdr:cNvPr id="3" name="Chart 2">
          <a:extLst>
            <a:ext uri="{FF2B5EF4-FFF2-40B4-BE49-F238E27FC236}">
              <a16:creationId xmlns:a16="http://schemas.microsoft.com/office/drawing/2014/main" id="{A445B832-D8A0-6232-B937-DBDF8E84B5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37</xdr:row>
      <xdr:rowOff>180976</xdr:rowOff>
    </xdr:from>
    <xdr:to>
      <xdr:col>9</xdr:col>
      <xdr:colOff>885825</xdr:colOff>
      <xdr:row>60</xdr:row>
      <xdr:rowOff>85726</xdr:rowOff>
    </xdr:to>
    <xdr:graphicFrame macro="">
      <xdr:nvGraphicFramePr>
        <xdr:cNvPr id="3" name="Chart 2">
          <a:extLst>
            <a:ext uri="{FF2B5EF4-FFF2-40B4-BE49-F238E27FC236}">
              <a16:creationId xmlns:a16="http://schemas.microsoft.com/office/drawing/2014/main" id="{53C2627B-4112-3EC2-5357-61B89D55DF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1076325</xdr:colOff>
      <xdr:row>37</xdr:row>
      <xdr:rowOff>161926</xdr:rowOff>
    </xdr:from>
    <xdr:to>
      <xdr:col>16</xdr:col>
      <xdr:colOff>476250</xdr:colOff>
      <xdr:row>60</xdr:row>
      <xdr:rowOff>76200</xdr:rowOff>
    </xdr:to>
    <xdr:graphicFrame macro="">
      <xdr:nvGraphicFramePr>
        <xdr:cNvPr id="4" name="Chart 3">
          <a:extLst>
            <a:ext uri="{FF2B5EF4-FFF2-40B4-BE49-F238E27FC236}">
              <a16:creationId xmlns:a16="http://schemas.microsoft.com/office/drawing/2014/main" id="{59FD041A-8F29-4187-B564-BB00D8441F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2BF3E84-4D6F-41C5-895E-82343D2C3E7D}" name="A1_data" displayName="A1_data" ref="B9:C29" totalsRowShown="0">
  <autoFilter ref="B9:C29" xr:uid="{F2BF3E84-4D6F-41C5-895E-82343D2C3E7D}"/>
  <tableColumns count="2">
    <tableColumn id="1" xr3:uid="{A88D8F0A-8C20-4325-B2A2-5B10F018EB11}" name="Pass/Fail"/>
    <tableColumn id="2" xr3:uid="{BAC18336-3224-4DCD-981A-996395280DB7}" name="Interval" dataDxfId="19">
      <calculatedColumnFormula>C9*IF(B10, 1+$C$5, 1-$C$6)</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EB34210-4E1F-4FD3-9D99-C9FE9EF3397B}" name="A2_data" displayName="A2_data" ref="B8:B27" totalsRowShown="0" headerRowDxfId="18" dataDxfId="17">
  <autoFilter ref="B8:B27" xr:uid="{CEB34210-4E1F-4FD3-9D99-C9FE9EF3397B}"/>
  <tableColumns count="1">
    <tableColumn id="1" xr3:uid="{A8C38ECD-4614-4116-AD8C-A6985286F234}" name="Pass/Fail" dataDxfId="16"/>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9DF70B-7A8D-449B-88C9-1F81D6944031}" name="IntervalHistory" displayName="IntervalHistory" ref="B5:G22" totalsRowShown="0">
  <autoFilter ref="B5:G22" xr:uid="{919DF70B-7A8D-449B-88C9-1F81D6944031}"/>
  <tableColumns count="6">
    <tableColumn id="5" xr3:uid="{9CE486E9-2683-47FC-A278-165954D3AEE3}" name="Asset"/>
    <tableColumn id="6" xr3:uid="{42154B5D-317A-44C5-B792-20492DFB7C88}" name="Workorder" dataDxfId="15"/>
    <tableColumn id="1" xr3:uid="{FCED1596-D3DD-4BEE-A3C3-C60EF9771A62}" name="Start Date" dataDxfId="14"/>
    <tableColumn id="2" xr3:uid="{F4296E5F-EB30-4774-BEC4-537894D94102}" name="End Date" dataDxfId="13"/>
    <tableColumn id="3" xr3:uid="{13E3ECB6-B3BD-4C6A-BD45-0185ED8A8E4E}" name="Interval Length" dataDxfId="12">
      <calculatedColumnFormula>IntervalHistory[[#This Row],[End Date]]-IntervalHistory[[#This Row],[Start Date]]</calculatedColumnFormula>
    </tableColumn>
    <tableColumn id="4" xr3:uid="{187612F1-9A03-43B7-BBDB-D685FAF5EF0B}" name="IT(1)/OOT(0)" dataDxfId="11"/>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B283A0E-C62C-4807-8ABE-006E4005A4A6}" name="S2_data" displayName="S2_data" ref="B5:D13" totalsRowShown="0" tableBorderDxfId="10">
  <autoFilter ref="B5:D13" xr:uid="{BB283A0E-C62C-4807-8ABE-006E4005A4A6}"/>
  <tableColumns count="3">
    <tableColumn id="1" xr3:uid="{9F4AC52C-9E08-473C-81C2-FC036110BF1B}" name="Interval Length"/>
    <tableColumn id="2" xr3:uid="{023EEF7C-5D8B-41C5-8243-BDB04124174E}" name="Reliability"/>
    <tableColumn id="3" xr3:uid="{EB8C263F-84D9-4A97-B24E-84846565CF3D}" name="Calibrations"/>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E0E0094-1642-4BD6-B945-E3EDDDBC6040}" name="RT_data" displayName="RT_data" comment="Observed calibration data for reliability target interval." ref="B3:D10" totalsRowShown="0" headerRowDxfId="9" tableBorderDxfId="8">
  <autoFilter ref="B3:D10" xr:uid="{EE0E0094-1642-4BD6-B945-E3EDDDBC6040}"/>
  <tableColumns count="3">
    <tableColumn id="1" xr3:uid="{CA87DED9-A9C1-4DF3-9B0E-24925F3C9883}" name="Calibration Date" dataDxfId="7"/>
    <tableColumn id="2" xr3:uid="{86C23AF4-6535-4DD4-8D5F-74543D90DEFC}" name="As-Found Value"/>
    <tableColumn id="4" xr3:uid="{47FE86FA-8009-4D0B-88D9-07D540B41384}" name="As-Left Value"/>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2BEB2D8-F7C1-4DFE-9CD0-0A3444BB0579}" name="UT_data" displayName="UT_data" ref="B3:D10" totalsRowShown="0" headerRowDxfId="6" tableBorderDxfId="5">
  <autoFilter ref="B3:D10" xr:uid="{D2BEB2D8-F7C1-4DFE-9CD0-0A3444BB0579}"/>
  <tableColumns count="3">
    <tableColumn id="1" xr3:uid="{6088849D-9192-4B16-A1F6-0C5EDB81809F}" name="Calibration Date" dataDxfId="4"/>
    <tableColumn id="2" xr3:uid="{9A51E24A-5DDA-4AE9-B611-92A4362B2EC3}" name="As-Found Value"/>
    <tableColumn id="3" xr3:uid="{C09969BD-8125-4FFA-BB03-8397D8106D61}" name="As-Left Value"/>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uncertainty@sandia.gov"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459BD-4F45-4892-88BD-6319140C3168}">
  <dimension ref="B1:D18"/>
  <sheetViews>
    <sheetView showGridLines="0" tabSelected="1" workbookViewId="0">
      <selection activeCell="B5" sqref="B5:C5"/>
    </sheetView>
  </sheetViews>
  <sheetFormatPr defaultColWidth="9.1796875" defaultRowHeight="14.5"/>
  <cols>
    <col min="1" max="1" width="3.1796875" customWidth="1"/>
    <col min="2" max="2" width="23.26953125" customWidth="1"/>
    <col min="3" max="3" width="120" customWidth="1"/>
  </cols>
  <sheetData>
    <row r="1" spans="2:4" ht="5.25" customHeight="1">
      <c r="B1" s="83"/>
      <c r="C1" s="83"/>
    </row>
    <row r="2" spans="2:4" ht="18.5">
      <c r="B2" s="163" t="s">
        <v>179</v>
      </c>
      <c r="C2" s="164"/>
    </row>
    <row r="3" spans="2:4">
      <c r="B3" s="165" t="s">
        <v>180</v>
      </c>
      <c r="C3" s="166"/>
    </row>
    <row r="4" spans="2:4" ht="20.25" customHeight="1">
      <c r="B4" s="167" t="s">
        <v>173</v>
      </c>
      <c r="C4" s="168"/>
    </row>
    <row r="5" spans="2:4" ht="65" customHeight="1">
      <c r="B5" s="169" t="s">
        <v>197</v>
      </c>
      <c r="C5" s="170"/>
      <c r="D5" s="1"/>
    </row>
    <row r="6" spans="2:4" ht="7.5" customHeight="1">
      <c r="B6" s="150"/>
      <c r="C6" s="151"/>
      <c r="D6" s="1"/>
    </row>
    <row r="7" spans="2:4">
      <c r="B7" s="171" t="s">
        <v>174</v>
      </c>
      <c r="C7" s="171"/>
      <c r="D7" s="1"/>
    </row>
    <row r="8" spans="2:4" ht="36" customHeight="1">
      <c r="B8" s="152" t="s">
        <v>181</v>
      </c>
      <c r="C8" s="153" t="s">
        <v>182</v>
      </c>
    </row>
    <row r="9" spans="2:4" ht="36" customHeight="1">
      <c r="B9" s="152" t="s">
        <v>183</v>
      </c>
      <c r="C9" s="153" t="s">
        <v>184</v>
      </c>
    </row>
    <row r="10" spans="2:4" ht="36" customHeight="1">
      <c r="B10" s="152" t="s">
        <v>185</v>
      </c>
      <c r="C10" s="153" t="s">
        <v>186</v>
      </c>
    </row>
    <row r="11" spans="2:4" ht="36" customHeight="1">
      <c r="B11" s="152" t="s">
        <v>187</v>
      </c>
      <c r="C11" s="153" t="s">
        <v>188</v>
      </c>
    </row>
    <row r="12" spans="2:4" ht="36" customHeight="1">
      <c r="B12" s="152" t="s">
        <v>189</v>
      </c>
      <c r="C12" s="154" t="s">
        <v>190</v>
      </c>
    </row>
    <row r="13" spans="2:4" ht="36" customHeight="1">
      <c r="B13" s="152" t="s">
        <v>191</v>
      </c>
      <c r="C13" s="153" t="s">
        <v>192</v>
      </c>
    </row>
    <row r="14" spans="2:4" ht="36" customHeight="1">
      <c r="B14" s="152" t="s">
        <v>193</v>
      </c>
      <c r="C14" s="154" t="s">
        <v>175</v>
      </c>
    </row>
    <row r="15" spans="2:4">
      <c r="B15" s="121"/>
      <c r="C15" s="122"/>
    </row>
    <row r="16" spans="2:4">
      <c r="B16" s="162" t="s">
        <v>176</v>
      </c>
      <c r="C16" s="162"/>
    </row>
    <row r="17" spans="2:3" ht="43.5">
      <c r="B17" s="155"/>
      <c r="C17" s="156" t="s">
        <v>177</v>
      </c>
    </row>
    <row r="18" spans="2:3">
      <c r="B18" s="155"/>
      <c r="C18" s="157" t="s">
        <v>178</v>
      </c>
    </row>
  </sheetData>
  <mergeCells count="6">
    <mergeCell ref="B16:C16"/>
    <mergeCell ref="B2:C2"/>
    <mergeCell ref="B3:C3"/>
    <mergeCell ref="B4:C4"/>
    <mergeCell ref="B5:C5"/>
    <mergeCell ref="B7:C7"/>
  </mergeCells>
  <hyperlinks>
    <hyperlink ref="B4" r:id="rId1" xr:uid="{D21272B9-9F8C-4DB8-BA67-24B8DA36DB1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02386-66A4-4D29-AAE2-FCA138373CEA}">
  <dimension ref="B2:H29"/>
  <sheetViews>
    <sheetView showGridLines="0" workbookViewId="0">
      <selection activeCell="B8" sqref="B8"/>
    </sheetView>
  </sheetViews>
  <sheetFormatPr defaultRowHeight="14.5"/>
  <cols>
    <col min="1" max="1" width="5.453125" customWidth="1"/>
    <col min="2" max="2" width="21.1796875" customWidth="1"/>
    <col min="3" max="3" width="10" customWidth="1"/>
    <col min="5" max="5" width="18.1796875" customWidth="1"/>
    <col min="6" max="6" width="8.453125" customWidth="1"/>
  </cols>
  <sheetData>
    <row r="2" spans="2:8">
      <c r="B2" s="135" t="s">
        <v>105</v>
      </c>
    </row>
    <row r="4" spans="2:8">
      <c r="B4" s="138" t="s">
        <v>11</v>
      </c>
      <c r="C4" s="139">
        <v>0.9</v>
      </c>
      <c r="E4" s="141" t="s">
        <v>104</v>
      </c>
      <c r="F4" s="142">
        <f>AVERAGE(A1_data[Pass/Fail])</f>
        <v>0.84210526315789469</v>
      </c>
    </row>
    <row r="5" spans="2:8">
      <c r="B5" s="92" t="s">
        <v>101</v>
      </c>
      <c r="C5" s="33">
        <v>0.1</v>
      </c>
    </row>
    <row r="6" spans="2:8">
      <c r="B6" s="94" t="s">
        <v>102</v>
      </c>
      <c r="C6" s="140">
        <f>1-(1+C5)^(-C4/(1-C4))</f>
        <v>0.5759023816275155</v>
      </c>
      <c r="H6" s="133"/>
    </row>
    <row r="7" spans="2:8">
      <c r="H7" s="133"/>
    </row>
    <row r="8" spans="2:8">
      <c r="B8" t="s">
        <v>194</v>
      </c>
    </row>
    <row r="9" spans="2:8">
      <c r="B9" t="s">
        <v>98</v>
      </c>
      <c r="C9" t="s">
        <v>26</v>
      </c>
    </row>
    <row r="10" spans="2:8">
      <c r="B10" s="135" t="s">
        <v>103</v>
      </c>
      <c r="C10" s="135">
        <v>365</v>
      </c>
    </row>
    <row r="11" spans="2:8">
      <c r="B11">
        <v>1</v>
      </c>
      <c r="C11" s="134">
        <f t="shared" ref="C11:C29" si="0">C10*IF(B11, 1+$C$5, 1-$C$6)</f>
        <v>401.50000000000006</v>
      </c>
    </row>
    <row r="12" spans="2:8">
      <c r="B12">
        <v>1</v>
      </c>
      <c r="C12" s="134">
        <f t="shared" si="0"/>
        <v>441.65000000000009</v>
      </c>
    </row>
    <row r="13" spans="2:8">
      <c r="B13">
        <v>0</v>
      </c>
      <c r="C13" s="134">
        <f t="shared" si="0"/>
        <v>187.30271315420782</v>
      </c>
    </row>
    <row r="14" spans="2:8">
      <c r="B14">
        <v>1</v>
      </c>
      <c r="C14" s="134">
        <f t="shared" si="0"/>
        <v>206.03298446962862</v>
      </c>
    </row>
    <row r="15" spans="2:8">
      <c r="B15">
        <v>1</v>
      </c>
      <c r="C15" s="134">
        <f t="shared" si="0"/>
        <v>226.63628291659148</v>
      </c>
    </row>
    <row r="16" spans="2:8">
      <c r="B16">
        <v>1</v>
      </c>
      <c r="C16" s="134">
        <f t="shared" si="0"/>
        <v>249.29991120825065</v>
      </c>
    </row>
    <row r="17" spans="2:3">
      <c r="B17">
        <v>1</v>
      </c>
      <c r="C17" s="134">
        <f t="shared" si="0"/>
        <v>274.22990232907574</v>
      </c>
    </row>
    <row r="18" spans="2:3">
      <c r="B18">
        <v>0</v>
      </c>
      <c r="C18" s="134">
        <f t="shared" si="0"/>
        <v>116.30024846428006</v>
      </c>
    </row>
    <row r="19" spans="2:3">
      <c r="B19">
        <v>1</v>
      </c>
      <c r="C19" s="134">
        <f t="shared" si="0"/>
        <v>127.93027331070807</v>
      </c>
    </row>
    <row r="20" spans="2:3">
      <c r="B20">
        <v>1</v>
      </c>
      <c r="C20" s="134">
        <f t="shared" si="0"/>
        <v>140.72330064177891</v>
      </c>
    </row>
    <row r="21" spans="2:3">
      <c r="B21">
        <v>1</v>
      </c>
      <c r="C21" s="134">
        <f t="shared" si="0"/>
        <v>154.7956307059568</v>
      </c>
    </row>
    <row r="22" spans="2:3">
      <c r="B22">
        <v>1</v>
      </c>
      <c r="C22" s="134">
        <f t="shared" si="0"/>
        <v>170.2751937765525</v>
      </c>
    </row>
    <row r="23" spans="2:3">
      <c r="B23">
        <v>1</v>
      </c>
      <c r="C23" s="134">
        <f t="shared" si="0"/>
        <v>187.30271315420777</v>
      </c>
    </row>
    <row r="24" spans="2:3">
      <c r="B24">
        <v>1</v>
      </c>
      <c r="C24" s="134">
        <f t="shared" si="0"/>
        <v>206.03298446962856</v>
      </c>
    </row>
    <row r="25" spans="2:3">
      <c r="B25">
        <v>1</v>
      </c>
      <c r="C25" s="134">
        <f t="shared" si="0"/>
        <v>226.63628291659143</v>
      </c>
    </row>
    <row r="26" spans="2:3">
      <c r="B26">
        <v>1</v>
      </c>
      <c r="C26" s="134">
        <f t="shared" si="0"/>
        <v>249.29991120825059</v>
      </c>
    </row>
    <row r="27" spans="2:3">
      <c r="B27">
        <v>1</v>
      </c>
      <c r="C27" s="134">
        <f t="shared" si="0"/>
        <v>274.22990232907568</v>
      </c>
    </row>
    <row r="28" spans="2:3">
      <c r="B28">
        <v>1</v>
      </c>
      <c r="C28" s="134">
        <f t="shared" si="0"/>
        <v>301.65289256198326</v>
      </c>
    </row>
    <row r="29" spans="2:3">
      <c r="B29">
        <v>0</v>
      </c>
      <c r="C29" s="134">
        <f t="shared" si="0"/>
        <v>127.93027331070805</v>
      </c>
    </row>
  </sheetData>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3160E-D169-49CD-964F-7EECE2ADA81A}">
  <dimension ref="B2:M28"/>
  <sheetViews>
    <sheetView showGridLines="0" workbookViewId="0">
      <selection activeCell="C34" sqref="C34"/>
    </sheetView>
  </sheetViews>
  <sheetFormatPr defaultRowHeight="14.5"/>
  <cols>
    <col min="1" max="1" width="5.453125" customWidth="1"/>
    <col min="2" max="2" width="19.1796875" customWidth="1"/>
    <col min="3" max="3" width="14.1796875" customWidth="1"/>
    <col min="4" max="4" width="14.7265625" customWidth="1"/>
    <col min="5" max="5" width="18.1796875" customWidth="1"/>
    <col min="6" max="6" width="8.7265625" customWidth="1"/>
    <col min="7" max="8" width="10" customWidth="1"/>
    <col min="10" max="10" width="18.1796875" customWidth="1"/>
    <col min="11" max="11" width="8.453125" customWidth="1"/>
  </cols>
  <sheetData>
    <row r="2" spans="2:13">
      <c r="B2" s="135" t="s">
        <v>105</v>
      </c>
      <c r="C2" s="135"/>
      <c r="D2" s="135"/>
    </row>
    <row r="4" spans="2:13">
      <c r="B4" s="138" t="s">
        <v>11</v>
      </c>
      <c r="C4" s="139">
        <v>0.9</v>
      </c>
      <c r="D4" s="136"/>
      <c r="E4" s="141" t="s">
        <v>104</v>
      </c>
      <c r="F4" s="142">
        <f>AVERAGE(A2_data[Pass/Fail])</f>
        <v>0.78947368421052633</v>
      </c>
      <c r="G4" s="137"/>
      <c r="H4" s="137"/>
    </row>
    <row r="5" spans="2:13">
      <c r="B5" s="94" t="s">
        <v>100</v>
      </c>
      <c r="C5" s="95">
        <v>365</v>
      </c>
      <c r="M5" s="133"/>
    </row>
    <row r="6" spans="2:13">
      <c r="B6" s="161"/>
      <c r="C6" s="161"/>
      <c r="M6" s="133"/>
    </row>
    <row r="7" spans="2:13">
      <c r="B7" t="s">
        <v>194</v>
      </c>
    </row>
    <row r="8" spans="2:13">
      <c r="B8" s="160" t="s">
        <v>98</v>
      </c>
      <c r="C8" s="158" t="s">
        <v>106</v>
      </c>
      <c r="D8" s="159" t="s">
        <v>99</v>
      </c>
    </row>
    <row r="9" spans="2:13">
      <c r="B9" s="92">
        <v>1</v>
      </c>
      <c r="C9" s="31" cm="1">
        <f t="array" ref="C9:C27">_xlfn.LET(
    _xlpm.pf, A2_data[Pass/Fail],
    _xlpm.pinit, 1,
    _xlpm.deltas, _xlfn.REDUCE(1, _xlpm.pf, _xlfn.LAMBDA(_xlpm.acc,_xlpm.i,
        _xlfn.LET(_xlpm.idx, ROWS(_xlpm.acc),
            _xlpm.dm, INDEX(_xlpm.acc, _xlpm.idx),
            _xlpm.ym, IF(_xlpm.idx=1, _xlpm.pinit, INDEX(_xlpm.pf, _xlpm.idx-1)),
            _xlpm.ymp, _xlpm.i,
            _xlfn.VSTACK(_xlpm.acc, _xlpm.dm/2^ABS(_xlpm.ymp-_xlpm.ym))
        )
    )),
    _xlfn.DROP(_xlpm.deltas, 1)
)</f>
        <v>1</v>
      </c>
      <c r="D9" s="16" cm="1">
        <f t="array" ref="D9:D27">_xlfn.LET(
    _xlpm.dm,_xlfn.ANCHORARRAY( A2_delta),
    _xlpm.pf, A2_data[Pass/Fail],
    _xlpm.intervals, _xlfn.REDUCE(A2_initial, _xlfn.SEQUENCE(ROWS(_xlpm.pf)), _xlfn.LAMBDA(_xlpm.acc,_xlpm.i,
       _xlfn.VSTACK(_xlpm.acc, ROUND(INDEX(_xlpm.acc, ROWS(_xlpm.acc))*(1 + INDEX(_xlpm.dm, _xlpm.i)*(INDEX(_xlpm.pf, _xlpm.i) - A2_target)),0))
    )),
    _xlfn.DROP(_xlpm.intervals, 1)
)</f>
        <v>402</v>
      </c>
      <c r="E9" s="135"/>
      <c r="F9" s="135"/>
      <c r="G9" s="135"/>
      <c r="H9" s="135"/>
    </row>
    <row r="10" spans="2:13">
      <c r="B10" s="92">
        <v>0</v>
      </c>
      <c r="C10" s="31">
        <v>0.5</v>
      </c>
      <c r="D10" s="19">
        <v>221</v>
      </c>
      <c r="E10" s="134"/>
      <c r="F10" s="134"/>
      <c r="G10" s="134"/>
      <c r="H10" s="134"/>
    </row>
    <row r="11" spans="2:13">
      <c r="B11" s="92">
        <v>1</v>
      </c>
      <c r="C11" s="31">
        <v>0.25</v>
      </c>
      <c r="D11" s="19">
        <v>227</v>
      </c>
      <c r="E11" s="134"/>
      <c r="F11" s="134"/>
      <c r="G11" s="134"/>
      <c r="H11" s="134"/>
    </row>
    <row r="12" spans="2:13">
      <c r="B12" s="92">
        <v>1</v>
      </c>
      <c r="C12" s="31">
        <v>0.25</v>
      </c>
      <c r="D12" s="19">
        <v>233</v>
      </c>
      <c r="E12" s="134"/>
      <c r="F12" s="134"/>
      <c r="G12" s="134"/>
      <c r="H12" s="134"/>
    </row>
    <row r="13" spans="2:13">
      <c r="B13" s="92">
        <v>1</v>
      </c>
      <c r="C13" s="31">
        <v>0.25</v>
      </c>
      <c r="D13" s="19">
        <v>239</v>
      </c>
      <c r="E13" s="134"/>
      <c r="F13" s="134"/>
      <c r="G13" s="134"/>
      <c r="H13" s="134"/>
    </row>
    <row r="14" spans="2:13">
      <c r="B14" s="92">
        <v>1</v>
      </c>
      <c r="C14" s="31">
        <v>0.25</v>
      </c>
      <c r="D14" s="19">
        <v>245</v>
      </c>
      <c r="E14" s="134"/>
      <c r="F14" s="134"/>
      <c r="G14" s="134"/>
      <c r="H14" s="134"/>
    </row>
    <row r="15" spans="2:13">
      <c r="B15" s="92">
        <v>0</v>
      </c>
      <c r="C15" s="31">
        <v>0.125</v>
      </c>
      <c r="D15" s="19">
        <v>217</v>
      </c>
      <c r="E15" s="134"/>
      <c r="F15" s="134"/>
      <c r="G15" s="134"/>
      <c r="H15" s="134"/>
    </row>
    <row r="16" spans="2:13">
      <c r="B16" s="92">
        <v>0</v>
      </c>
      <c r="C16" s="31">
        <v>0.125</v>
      </c>
      <c r="D16" s="19">
        <v>193</v>
      </c>
      <c r="E16" s="134"/>
      <c r="F16" s="134"/>
      <c r="G16" s="134"/>
      <c r="H16" s="134"/>
    </row>
    <row r="17" spans="2:8">
      <c r="B17" s="92">
        <v>1</v>
      </c>
      <c r="C17" s="31">
        <v>6.25E-2</v>
      </c>
      <c r="D17" s="19">
        <v>194</v>
      </c>
      <c r="E17" s="134"/>
      <c r="F17" s="134"/>
      <c r="G17" s="134"/>
      <c r="H17" s="134"/>
    </row>
    <row r="18" spans="2:8">
      <c r="B18" s="92">
        <v>1</v>
      </c>
      <c r="C18" s="31">
        <v>6.25E-2</v>
      </c>
      <c r="D18" s="19">
        <v>195</v>
      </c>
      <c r="E18" s="134"/>
      <c r="F18" s="134"/>
      <c r="G18" s="134"/>
      <c r="H18" s="134"/>
    </row>
    <row r="19" spans="2:8">
      <c r="B19" s="92">
        <v>1</v>
      </c>
      <c r="C19" s="31">
        <v>6.25E-2</v>
      </c>
      <c r="D19" s="19">
        <v>196</v>
      </c>
      <c r="E19" s="134"/>
      <c r="F19" s="134"/>
      <c r="G19" s="134"/>
      <c r="H19" s="134"/>
    </row>
    <row r="20" spans="2:8">
      <c r="B20" s="92">
        <v>1</v>
      </c>
      <c r="C20" s="31">
        <v>6.25E-2</v>
      </c>
      <c r="D20" s="19">
        <v>197</v>
      </c>
      <c r="E20" s="134"/>
      <c r="F20" s="134"/>
      <c r="G20" s="134"/>
      <c r="H20" s="134"/>
    </row>
    <row r="21" spans="2:8">
      <c r="B21" s="92">
        <v>1</v>
      </c>
      <c r="C21" s="31">
        <v>6.25E-2</v>
      </c>
      <c r="D21" s="19">
        <v>198</v>
      </c>
      <c r="E21" s="134"/>
      <c r="F21" s="134"/>
      <c r="G21" s="134"/>
      <c r="H21" s="134"/>
    </row>
    <row r="22" spans="2:8">
      <c r="B22" s="92">
        <v>1</v>
      </c>
      <c r="C22" s="31">
        <v>6.25E-2</v>
      </c>
      <c r="D22" s="19">
        <v>199</v>
      </c>
      <c r="E22" s="134"/>
      <c r="F22" s="134"/>
      <c r="G22" s="134"/>
      <c r="H22" s="134"/>
    </row>
    <row r="23" spans="2:8">
      <c r="B23" s="92">
        <v>1</v>
      </c>
      <c r="C23" s="31">
        <v>6.25E-2</v>
      </c>
      <c r="D23" s="19">
        <v>200</v>
      </c>
      <c r="E23" s="134"/>
      <c r="F23" s="134"/>
      <c r="G23" s="134"/>
      <c r="H23" s="134"/>
    </row>
    <row r="24" spans="2:8">
      <c r="B24" s="92">
        <v>1</v>
      </c>
      <c r="C24" s="31">
        <v>6.25E-2</v>
      </c>
      <c r="D24" s="19">
        <v>201</v>
      </c>
      <c r="E24" s="134"/>
      <c r="F24" s="134"/>
      <c r="G24" s="134"/>
      <c r="H24" s="134"/>
    </row>
    <row r="25" spans="2:8">
      <c r="B25" s="92">
        <v>1</v>
      </c>
      <c r="C25" s="31">
        <v>6.25E-2</v>
      </c>
      <c r="D25" s="19">
        <v>202</v>
      </c>
      <c r="E25" s="134"/>
      <c r="F25" s="134"/>
      <c r="G25" s="134"/>
      <c r="H25" s="134"/>
    </row>
    <row r="26" spans="2:8">
      <c r="B26" s="92">
        <v>0</v>
      </c>
      <c r="C26" s="31">
        <v>3.125E-2</v>
      </c>
      <c r="D26" s="19">
        <v>196</v>
      </c>
      <c r="E26" s="134"/>
      <c r="F26" s="134"/>
      <c r="G26" s="134"/>
      <c r="H26" s="134"/>
    </row>
    <row r="27" spans="2:8">
      <c r="B27" s="94">
        <v>1</v>
      </c>
      <c r="C27" s="37">
        <v>1.5625E-2</v>
      </c>
      <c r="D27" s="30">
        <v>196</v>
      </c>
      <c r="E27" s="134"/>
      <c r="F27" s="134"/>
      <c r="G27" s="134"/>
      <c r="H27" s="134"/>
    </row>
    <row r="28" spans="2:8">
      <c r="E28" s="134"/>
      <c r="F28" s="134"/>
      <c r="G28" s="134"/>
      <c r="H28" s="134"/>
    </row>
  </sheetData>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F884A-68DC-48BA-9969-919F267F2133}">
  <dimension ref="B2:J22"/>
  <sheetViews>
    <sheetView showGridLines="0" workbookViewId="0">
      <selection activeCell="B3" sqref="B3"/>
    </sheetView>
  </sheetViews>
  <sheetFormatPr defaultRowHeight="14.5"/>
  <cols>
    <col min="3" max="3" width="15.26953125" customWidth="1"/>
    <col min="4" max="4" width="11.7265625" customWidth="1"/>
    <col min="5" max="5" width="14" customWidth="1"/>
    <col min="6" max="6" width="14.54296875" customWidth="1"/>
    <col min="7" max="7" width="16.1796875" customWidth="1"/>
    <col min="9" max="9" width="21.81640625" customWidth="1"/>
    <col min="10" max="10" width="11.81640625" customWidth="1"/>
  </cols>
  <sheetData>
    <row r="2" spans="2:10">
      <c r="B2" t="s">
        <v>0</v>
      </c>
      <c r="D2" s="1"/>
      <c r="E2" s="1"/>
      <c r="F2" s="1"/>
      <c r="G2" s="1"/>
    </row>
    <row r="3" spans="2:10">
      <c r="B3" t="s">
        <v>1</v>
      </c>
      <c r="D3" s="1"/>
      <c r="E3" s="1"/>
      <c r="F3" s="1"/>
      <c r="G3" s="1"/>
    </row>
    <row r="4" spans="2:10" ht="15" thickBot="1">
      <c r="D4" s="1"/>
      <c r="E4" s="1"/>
      <c r="F4" s="1"/>
      <c r="G4" s="1"/>
    </row>
    <row r="5" spans="2:10">
      <c r="B5" t="s">
        <v>2</v>
      </c>
      <c r="C5" t="s">
        <v>3</v>
      </c>
      <c r="D5" s="1" t="s">
        <v>4</v>
      </c>
      <c r="E5" s="1" t="s">
        <v>5</v>
      </c>
      <c r="F5" s="1" t="s">
        <v>6</v>
      </c>
      <c r="G5" s="1" t="s">
        <v>7</v>
      </c>
      <c r="I5" s="172" t="s">
        <v>8</v>
      </c>
      <c r="J5" s="173"/>
    </row>
    <row r="6" spans="2:10">
      <c r="D6" s="2">
        <v>40179</v>
      </c>
      <c r="E6" s="2">
        <v>40544</v>
      </c>
      <c r="F6" s="1">
        <f>IntervalHistory[[#This Row],[End Date]]-IntervalHistory[[#This Row],[Start Date]]</f>
        <v>365</v>
      </c>
      <c r="G6" s="1">
        <v>1</v>
      </c>
      <c r="I6" s="3" t="s">
        <v>9</v>
      </c>
      <c r="J6" s="4">
        <v>365</v>
      </c>
    </row>
    <row r="7" spans="2:10">
      <c r="D7" s="2">
        <v>40544</v>
      </c>
      <c r="E7" s="2">
        <v>40909</v>
      </c>
      <c r="F7" s="1">
        <f>IntervalHistory[[#This Row],[End Date]]-IntervalHistory[[#This Row],[Start Date]]</f>
        <v>365</v>
      </c>
      <c r="G7" s="1">
        <v>1</v>
      </c>
      <c r="I7" s="3" t="s">
        <v>10</v>
      </c>
      <c r="J7" s="4">
        <v>30</v>
      </c>
    </row>
    <row r="8" spans="2:10">
      <c r="D8" s="2">
        <v>40909</v>
      </c>
      <c r="E8" s="2">
        <v>41275</v>
      </c>
      <c r="F8" s="1">
        <f>IntervalHistory[[#This Row],[End Date]]-IntervalHistory[[#This Row],[Start Date]]</f>
        <v>366</v>
      </c>
      <c r="G8" s="1">
        <v>1</v>
      </c>
      <c r="I8" s="3" t="s">
        <v>11</v>
      </c>
      <c r="J8" s="5">
        <v>0.95</v>
      </c>
    </row>
    <row r="9" spans="2:10">
      <c r="D9" s="2">
        <v>41275</v>
      </c>
      <c r="E9" s="2">
        <v>41643</v>
      </c>
      <c r="F9" s="1">
        <f>IntervalHistory[[#This Row],[End Date]]-IntervalHistory[[#This Row],[Start Date]]</f>
        <v>368</v>
      </c>
      <c r="G9" s="1">
        <v>1</v>
      </c>
      <c r="I9" s="3" t="s">
        <v>12</v>
      </c>
      <c r="J9" s="6">
        <v>0.5</v>
      </c>
    </row>
    <row r="10" spans="2:10" ht="15" thickBot="1">
      <c r="D10" s="2">
        <v>41640</v>
      </c>
      <c r="E10" s="2">
        <v>42370</v>
      </c>
      <c r="F10" s="1">
        <f>IntervalHistory[[#This Row],[End Date]]-IntervalHistory[[#This Row],[Start Date]]</f>
        <v>730</v>
      </c>
      <c r="G10" s="1">
        <v>1</v>
      </c>
      <c r="I10" s="7" t="s">
        <v>13</v>
      </c>
      <c r="J10" s="8">
        <v>2</v>
      </c>
    </row>
    <row r="11" spans="2:10">
      <c r="D11" s="2">
        <v>42370</v>
      </c>
      <c r="E11" s="2">
        <v>43101</v>
      </c>
      <c r="F11" s="1">
        <f>IntervalHistory[[#This Row],[End Date]]-IntervalHistory[[#This Row],[Start Date]]</f>
        <v>731</v>
      </c>
      <c r="G11" s="1">
        <v>1</v>
      </c>
    </row>
    <row r="12" spans="2:10" ht="15" thickBot="1">
      <c r="D12" s="2"/>
      <c r="E12" s="2"/>
      <c r="F12" s="1">
        <f>IntervalHistory[[#This Row],[End Date]]-IntervalHistory[[#This Row],[Start Date]]</f>
        <v>0</v>
      </c>
      <c r="G12" s="1">
        <v>1</v>
      </c>
    </row>
    <row r="13" spans="2:10">
      <c r="D13" s="2"/>
      <c r="E13" s="2"/>
      <c r="F13" s="1">
        <f>IntervalHistory[[#This Row],[End Date]]-IntervalHistory[[#This Row],[Start Date]]</f>
        <v>0</v>
      </c>
      <c r="G13" s="1">
        <v>1</v>
      </c>
      <c r="I13" s="143" t="s">
        <v>14</v>
      </c>
      <c r="J13" s="144" cm="1">
        <f t="array" ref="J13">COUNT(_xlfn._xlws.FILTER(IntervalHistory[Interval Length],ABS(IntervalHistory[Interval Length]-J6)&lt;=J7))</f>
        <v>4</v>
      </c>
    </row>
    <row r="14" spans="2:10">
      <c r="D14" s="2"/>
      <c r="E14" s="2"/>
      <c r="F14" s="1">
        <f>IntervalHistory[[#This Row],[End Date]]-IntervalHistory[[#This Row],[Start Date]]</f>
        <v>0</v>
      </c>
      <c r="G14" s="1">
        <v>1</v>
      </c>
      <c r="I14" s="145" t="s">
        <v>15</v>
      </c>
      <c r="J14" s="146" cm="1">
        <f t="array" ref="J14">COUNTA(_xlfn._xlws.FILTER(IntervalHistory[IT(1)/OOT(0)], (ABS(IntervalHistory[Interval Length]-J6)&lt;=J7)*(IntervalHistory[IT(1)/OOT(0)]=1)))</f>
        <v>4</v>
      </c>
    </row>
    <row r="15" spans="2:10">
      <c r="D15" s="2"/>
      <c r="E15" s="2"/>
      <c r="F15" s="1">
        <f>IntervalHistory[[#This Row],[End Date]]-IntervalHistory[[#This Row],[Start Date]]</f>
        <v>0</v>
      </c>
      <c r="G15" s="1">
        <v>1</v>
      </c>
      <c r="I15" s="145" t="s">
        <v>16</v>
      </c>
      <c r="J15" s="147">
        <f>NumPass/NumCals</f>
        <v>1</v>
      </c>
    </row>
    <row r="16" spans="2:10">
      <c r="D16" s="2"/>
      <c r="E16" s="2"/>
      <c r="F16" s="1">
        <f>IntervalHistory[[#This Row],[End Date]]-IntervalHistory[[#This Row],[Start Date]]</f>
        <v>0</v>
      </c>
      <c r="G16" s="1">
        <v>1</v>
      </c>
      <c r="I16" s="145"/>
      <c r="J16" s="146"/>
    </row>
    <row r="17" spans="4:10">
      <c r="D17" s="2"/>
      <c r="E17" s="2"/>
      <c r="F17" s="1">
        <f>IntervalHistory[[#This Row],[End Date]]-IntervalHistory[[#This Row],[Start Date]]</f>
        <v>0</v>
      </c>
      <c r="G17" s="1">
        <v>1</v>
      </c>
      <c r="I17" s="145" t="s">
        <v>17</v>
      </c>
      <c r="J17" s="147">
        <f>IF(NumPass=0,0,IF(NumPass=NumCals,(1-ChangeConfidence)^(1/NumCals),1-_xlfn.BETA.INV((1+ChangeConfidence)/2,NumCals-NumPass+1,NumPass)))</f>
        <v>0.8408964152537145</v>
      </c>
    </row>
    <row r="18" spans="4:10">
      <c r="D18" s="2"/>
      <c r="E18" s="2"/>
      <c r="F18" s="1">
        <f>IntervalHistory[[#This Row],[End Date]]-IntervalHistory[[#This Row],[Start Date]]</f>
        <v>0</v>
      </c>
      <c r="G18" s="1">
        <v>1</v>
      </c>
      <c r="I18" s="145" t="s">
        <v>18</v>
      </c>
      <c r="J18" s="147">
        <f>IF(NumPass=0,1-(1-ChangeConfidence)^(1/NumCals),IF(NumPass=NumCals,1,1-_xlfn.BETA.INV((1-ChangeConfidence)/2,NumCals-NumPass,NumPass+1)))</f>
        <v>1</v>
      </c>
    </row>
    <row r="19" spans="4:10">
      <c r="D19" s="2"/>
      <c r="E19" s="2"/>
      <c r="F19" s="1">
        <f>IntervalHistory[[#This Row],[End Date]]-IntervalHistory[[#This Row],[Start Date]]</f>
        <v>0</v>
      </c>
      <c r="G19" s="1">
        <v>1</v>
      </c>
      <c r="I19" s="145" t="s">
        <v>19</v>
      </c>
      <c r="J19" s="147">
        <f>IF(OR(NumPass=0,NumPass=NumCals),1-_xlfn.BINOM.DIST(NumPass,NumCals,ReliabilityTarget,FALSE),MAX(0,IF(ReliabilityObs&gt;ReliabilityTarget,2*_xlfn.BINOM.DIST(NumPass-1,NumCals,ReliabilityTarget,TRUE)-1,1-2*_xlfn.BINOM.DIST(NumPass,NumCals,ReliabilityTarget,TRUE))))</f>
        <v>0.18549375000000012</v>
      </c>
    </row>
    <row r="20" spans="4:10">
      <c r="D20" s="2"/>
      <c r="E20" s="2"/>
      <c r="F20" s="1">
        <f>IntervalHistory[[#This Row],[End Date]]-IntervalHistory[[#This Row],[Start Date]]</f>
        <v>0</v>
      </c>
      <c r="G20" s="1">
        <v>1</v>
      </c>
      <c r="I20" s="145"/>
      <c r="J20" s="146"/>
    </row>
    <row r="21" spans="4:10" ht="15" thickBot="1">
      <c r="D21" s="2"/>
      <c r="E21" s="2"/>
      <c r="F21" s="1">
        <f>IntervalHistory[[#This Row],[End Date]]-IntervalHistory[[#This Row],[Start Date]]</f>
        <v>0</v>
      </c>
      <c r="G21" s="1">
        <v>1</v>
      </c>
      <c r="I21" s="148" t="s">
        <v>20</v>
      </c>
      <c r="J21" s="149">
        <f>IF(RejectionConfidence&gt;ChangeConfidence, TestInterval*MIN(MaxChange,MAX(1/MaxChange, IF(ReliabilityObs&gt;ReliabilityTarget,IF(RejectionConfidence&gt;=1,MaxChange,10^((ReliabilityObs-ReliabilityTarget)/(1-RejectionConfidence))),10^(RejectionConfidence*(ReliabilityObs-ReliabilityTarget))))),TestInterval)</f>
        <v>365</v>
      </c>
    </row>
    <row r="22" spans="4:10">
      <c r="D22" s="2"/>
      <c r="E22" s="2"/>
      <c r="F22" s="1">
        <f>IntervalHistory[[#This Row],[End Date]]-IntervalHistory[[#This Row],[Start Date]]</f>
        <v>0</v>
      </c>
      <c r="G22" s="1">
        <v>1</v>
      </c>
    </row>
  </sheetData>
  <mergeCells count="1">
    <mergeCell ref="I5:J5"/>
  </mergeCells>
  <conditionalFormatting sqref="J21">
    <cfRule type="cellIs" dxfId="3" priority="1" operator="greaterThan">
      <formula>$J$6</formula>
    </cfRule>
    <cfRule type="cellIs" dxfId="2" priority="2" operator="equal">
      <formula>$J$6</formula>
    </cfRule>
    <cfRule type="cellIs" dxfId="1" priority="3" operator="lessThan">
      <formula>$J$6</formula>
    </cfRule>
    <cfRule type="cellIs" dxfId="0" priority="4" operator="greaterThan">
      <formula>$J$6</formula>
    </cfRule>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FFBBF-6BE9-455D-A114-477F3E5F71A2}">
  <dimension ref="B2:AM42"/>
  <sheetViews>
    <sheetView showGridLines="0" workbookViewId="0">
      <selection activeCell="B4" sqref="B4"/>
    </sheetView>
  </sheetViews>
  <sheetFormatPr defaultRowHeight="14.5"/>
  <cols>
    <col min="1" max="1" width="3.7265625" customWidth="1"/>
    <col min="2" max="2" width="18.26953125" customWidth="1"/>
    <col min="3" max="3" width="13.54296875" customWidth="1"/>
    <col min="4" max="4" width="15.453125" customWidth="1"/>
    <col min="5" max="5" width="8.81640625" customWidth="1"/>
    <col min="6" max="6" width="22.453125" customWidth="1"/>
    <col min="7" max="7" width="17.54296875" customWidth="1"/>
    <col min="8" max="8" width="4.26953125" customWidth="1"/>
    <col min="9" max="9" width="20.26953125" customWidth="1"/>
    <col min="10" max="10" width="11.7265625" customWidth="1"/>
    <col min="11" max="11" width="2.54296875" customWidth="1"/>
    <col min="12" max="12" width="17.54296875" customWidth="1"/>
    <col min="13" max="13" width="9.453125" customWidth="1"/>
    <col min="14" max="14" width="2.26953125" customWidth="1"/>
    <col min="15" max="15" width="15.26953125" customWidth="1"/>
    <col min="16" max="16" width="11.81640625" customWidth="1"/>
    <col min="17" max="17" width="2.453125" customWidth="1"/>
    <col min="18" max="18" width="12.26953125" customWidth="1"/>
    <col min="19" max="19" width="9.1796875" customWidth="1"/>
    <col min="20" max="20" width="2.453125" customWidth="1"/>
    <col min="21" max="21" width="12.81640625" customWidth="1"/>
    <col min="22" max="22" width="9.1796875" customWidth="1"/>
    <col min="24" max="24" width="2.54296875" customWidth="1"/>
    <col min="25" max="25" width="11.7265625" customWidth="1"/>
    <col min="26" max="26" width="2.1796875" customWidth="1"/>
    <col min="27" max="27" width="12.26953125" customWidth="1"/>
    <col min="29" max="29" width="1.81640625" customWidth="1"/>
    <col min="30" max="30" width="12.26953125" customWidth="1"/>
    <col min="31" max="31" width="8.81640625" customWidth="1"/>
    <col min="32" max="32" width="2.54296875" customWidth="1"/>
    <col min="33" max="33" width="12.26953125" customWidth="1"/>
    <col min="34" max="34" width="8.81640625" customWidth="1"/>
    <col min="36" max="36" width="2.1796875" customWidth="1"/>
    <col min="37" max="37" width="12.26953125" customWidth="1"/>
    <col min="38" max="38" width="8.81640625" customWidth="1"/>
    <col min="39" max="39" width="2.453125" customWidth="1"/>
  </cols>
  <sheetData>
    <row r="2" spans="2:39">
      <c r="B2" s="10" t="s">
        <v>11</v>
      </c>
      <c r="C2" s="11">
        <v>0.8</v>
      </c>
      <c r="D2" s="12"/>
      <c r="F2" s="13" t="s">
        <v>54</v>
      </c>
      <c r="G2" s="14"/>
      <c r="I2" s="80" t="s">
        <v>45</v>
      </c>
      <c r="J2" s="13" t="s">
        <v>32</v>
      </c>
      <c r="K2" s="14"/>
      <c r="L2" s="13" t="s">
        <v>34</v>
      </c>
      <c r="M2" s="81"/>
      <c r="N2" s="14"/>
      <c r="O2" s="13" t="s">
        <v>36</v>
      </c>
      <c r="P2" s="81"/>
      <c r="Q2" s="14"/>
      <c r="R2" s="13" t="s">
        <v>38</v>
      </c>
      <c r="S2" s="81"/>
      <c r="T2" s="14"/>
      <c r="U2" s="13" t="s">
        <v>47</v>
      </c>
      <c r="V2" s="81"/>
      <c r="W2" s="81"/>
      <c r="X2" s="14"/>
      <c r="Y2" s="13" t="s">
        <v>49</v>
      </c>
      <c r="Z2" s="14"/>
      <c r="AA2" s="13" t="s">
        <v>50</v>
      </c>
      <c r="AB2" s="81"/>
      <c r="AC2" s="14"/>
      <c r="AD2" s="13" t="s">
        <v>51</v>
      </c>
      <c r="AE2" s="81"/>
      <c r="AF2" s="14"/>
      <c r="AG2" s="13" t="s">
        <v>52</v>
      </c>
      <c r="AH2" s="81"/>
      <c r="AI2" s="81"/>
      <c r="AJ2" s="14"/>
      <c r="AK2" s="13" t="s">
        <v>53</v>
      </c>
      <c r="AL2" s="81"/>
      <c r="AM2" s="14"/>
    </row>
    <row r="3" spans="2:39">
      <c r="F3" s="15" t="s">
        <v>44</v>
      </c>
      <c r="G3" s="16" t="str">
        <f>INDEX(S2_modelnames, MATCH(MAX(S2_foms),S2_foms,0))</f>
        <v>Mixed Exponential</v>
      </c>
      <c r="I3" s="44" t="s">
        <v>46</v>
      </c>
      <c r="J3" s="18" t="s">
        <v>33</v>
      </c>
      <c r="K3" s="19"/>
      <c r="L3" s="18" t="s">
        <v>35</v>
      </c>
      <c r="M3" s="31"/>
      <c r="N3" s="19"/>
      <c r="O3" s="18" t="s">
        <v>37</v>
      </c>
      <c r="P3" s="31"/>
      <c r="Q3" s="19"/>
      <c r="R3" s="18" t="s">
        <v>39</v>
      </c>
      <c r="S3" s="31"/>
      <c r="T3" s="19"/>
      <c r="U3" s="18" t="s">
        <v>48</v>
      </c>
      <c r="V3" s="31"/>
      <c r="W3" s="31"/>
      <c r="X3" s="19"/>
      <c r="Y3" s="18" t="s">
        <v>58</v>
      </c>
      <c r="Z3" s="19"/>
      <c r="AA3" s="18" t="s">
        <v>59</v>
      </c>
      <c r="AB3" s="31"/>
      <c r="AC3" s="19"/>
      <c r="AD3" s="18" t="s">
        <v>60</v>
      </c>
      <c r="AE3" s="31"/>
      <c r="AF3" s="19"/>
      <c r="AG3" s="18" t="s">
        <v>61</v>
      </c>
      <c r="AH3" s="31"/>
      <c r="AI3" s="31"/>
      <c r="AJ3" s="19"/>
      <c r="AK3" s="18" t="s">
        <v>62</v>
      </c>
      <c r="AL3" s="31"/>
      <c r="AM3" s="19"/>
    </row>
    <row r="4" spans="2:39">
      <c r="B4" t="s">
        <v>195</v>
      </c>
      <c r="F4" s="124" t="s">
        <v>43</v>
      </c>
      <c r="G4" s="125">
        <f>_xlfn.XLOOKUP(S2_bestfit,S2_modelnames,S2_interval_results)</f>
        <v>22.932420649303822</v>
      </c>
      <c r="I4" s="45" t="s">
        <v>55</v>
      </c>
      <c r="J4" s="20">
        <v>1E-4</v>
      </c>
      <c r="K4" s="21"/>
      <c r="L4" s="20">
        <v>0.03</v>
      </c>
      <c r="M4" s="32">
        <v>0.4</v>
      </c>
      <c r="N4" s="33"/>
      <c r="O4" s="20">
        <v>3.0000000000000001E-3</v>
      </c>
      <c r="P4" s="32">
        <v>0.5</v>
      </c>
      <c r="Q4" s="33"/>
      <c r="R4" s="20">
        <v>0.5</v>
      </c>
      <c r="S4" s="32">
        <v>0.01</v>
      </c>
      <c r="T4" s="33"/>
      <c r="U4" s="20">
        <v>0.5</v>
      </c>
      <c r="V4" s="32">
        <v>100</v>
      </c>
      <c r="W4" s="32">
        <v>1E-4</v>
      </c>
      <c r="X4" s="33"/>
      <c r="Y4" s="20">
        <v>0.02</v>
      </c>
      <c r="Z4" s="33"/>
      <c r="AA4" s="20">
        <v>4.0000000000000001E-3</v>
      </c>
      <c r="AB4" s="32">
        <v>9.9999999999999995E-7</v>
      </c>
      <c r="AC4" s="33"/>
      <c r="AD4" s="20">
        <v>5.0000000000000001E-3</v>
      </c>
      <c r="AE4" s="32">
        <v>100</v>
      </c>
      <c r="AF4" s="33"/>
      <c r="AG4" s="20">
        <v>5</v>
      </c>
      <c r="AH4" s="32">
        <v>0.5</v>
      </c>
      <c r="AI4" s="32">
        <v>1E-3</v>
      </c>
      <c r="AJ4" s="33"/>
      <c r="AK4" s="20">
        <v>7.1300000000000001E-3</v>
      </c>
      <c r="AL4" s="32">
        <v>2</v>
      </c>
      <c r="AM4" s="33"/>
    </row>
    <row r="5" spans="2:39">
      <c r="B5" s="17" t="s">
        <v>6</v>
      </c>
      <c r="C5" s="17" t="s">
        <v>21</v>
      </c>
      <c r="D5" s="17" t="s">
        <v>22</v>
      </c>
      <c r="I5" s="44"/>
      <c r="J5" s="18"/>
      <c r="K5" s="19"/>
      <c r="L5" s="18"/>
      <c r="M5" s="31"/>
      <c r="N5" s="19"/>
      <c r="O5" s="18"/>
      <c r="P5" s="31"/>
      <c r="Q5" s="19"/>
      <c r="R5" s="18"/>
      <c r="S5" s="31"/>
      <c r="T5" s="19"/>
      <c r="U5" s="18"/>
      <c r="V5" s="31"/>
      <c r="W5" s="31"/>
      <c r="X5" s="19"/>
      <c r="Y5" s="18"/>
      <c r="Z5" s="19"/>
      <c r="AA5" s="18"/>
      <c r="AB5" s="31"/>
      <c r="AC5" s="19"/>
      <c r="AD5" s="18"/>
      <c r="AE5" s="31"/>
      <c r="AF5" s="19"/>
      <c r="AG5" s="18"/>
      <c r="AH5" s="31"/>
      <c r="AI5" s="31"/>
      <c r="AJ5" s="19"/>
      <c r="AK5" s="18"/>
      <c r="AL5" s="31"/>
      <c r="AM5" s="19"/>
    </row>
    <row r="6" spans="2:39">
      <c r="B6" s="17">
        <v>21</v>
      </c>
      <c r="C6" s="17">
        <v>0.999</v>
      </c>
      <c r="D6" s="17">
        <v>4</v>
      </c>
      <c r="I6" s="46" t="s">
        <v>56</v>
      </c>
      <c r="J6" s="22" cm="1">
        <f t="array" ref="J6">BISECT(_xlfn.LAMBDA(_xlpm.t, GETMODEL(J2)(_xlpm.t,_xlfn.ANCHORARRAY(J8))-S2_target),0,S2_maxobserved*10)</f>
        <v>53.177454762335401</v>
      </c>
      <c r="K6" s="23"/>
      <c r="L6" s="22" cm="1">
        <f t="array" ref="L6">BISECT(_xlfn.LAMBDA(_xlpm.t, GETMODEL(L2)(_xlpm.t,_xlfn.ANCHORARRAY(L8))-S2_target),0,S2_maxobserved*10)</f>
        <v>22.932420649303822</v>
      </c>
      <c r="M6" s="34"/>
      <c r="N6" s="16"/>
      <c r="O6" s="22" cm="1">
        <f t="array" ref="O6">BISECT(_xlfn.LAMBDA(_xlpm.t, GETMODEL(O2)(_xlpm.t,_xlfn.ANCHORARRAY(O8))-S2_target),0,S2_maxobserved*10)</f>
        <v>20.973129648773465</v>
      </c>
      <c r="P6" s="34"/>
      <c r="Q6" s="16"/>
      <c r="R6" s="22" cm="1">
        <f t="array" ref="R6">BISECT(_xlfn.LAMBDA(_xlpm.t, GETMODEL(R2)(_xlpm.t,_xlfn.ANCHORARRAY(R8))-S2_target),0,S2_maxobserved*10)</f>
        <v>10.969123296963517</v>
      </c>
      <c r="S6" s="39"/>
      <c r="T6" s="19"/>
      <c r="U6" s="22" cm="1">
        <f t="array" ref="U6">BISECT(_xlfn.LAMBDA(_xlpm.t, GETMODEL(U2)(_xlpm.t,_xlfn.ANCHORARRAY(U8))-S2_target),0,S2_maxobserved*10)</f>
        <v>12.898540445457911</v>
      </c>
      <c r="V6" s="39"/>
      <c r="W6" s="31"/>
      <c r="X6" s="19"/>
      <c r="Y6" s="22" cm="1">
        <f t="array" ref="Y6">BISECT(_xlfn.LAMBDA(_xlpm.t, GETMODEL(Y2)(_xlpm.t,_xlfn.ANCHORARRAY(Y8))-S2_target),0,S2_maxobserved*10)</f>
        <v>105.55787782272091</v>
      </c>
      <c r="Z6" s="19"/>
      <c r="AA6" s="22" cm="1">
        <f t="array" ref="AA6">BISECT(_xlfn.LAMBDA(_xlpm.t, GETMODEL(AA2)(_xlpm.t,_xlfn.ANCHORARRAY(AA8))-S2_target),0,S2_maxobserved*10)</f>
        <v>56.772756457503419</v>
      </c>
      <c r="AB6" s="39"/>
      <c r="AC6" s="19"/>
      <c r="AD6" s="22" cm="1">
        <f t="array" ref="AD6">BISECT(_xlfn.LAMBDA(_xlpm.t, GETMODEL(AD2)(_xlpm.t,_xlfn.ANCHORARRAY(AD8))-S2_target),0,S2_maxobserved*10)</f>
        <v>0</v>
      </c>
      <c r="AE6" s="39"/>
      <c r="AF6" s="19"/>
      <c r="AG6" s="22" cm="1">
        <f t="array" ref="AG6">BISECT(_xlfn.LAMBDA(_xlpm.t, GETMODEL(AG2)(_xlpm.t,_xlfn.ANCHORARRAY(AG8))-S2_target),0,S2_maxobserved*10)</f>
        <v>0</v>
      </c>
      <c r="AH6" s="39"/>
      <c r="AI6" s="31"/>
      <c r="AJ6" s="19"/>
      <c r="AK6" s="22" cm="1">
        <f t="array" ref="AK6">BISECT(_xlfn.LAMBDA(_xlpm.t, GETMODEL(AK2)(_xlpm.t,_xlfn.ANCHORARRAY(AK8))-S2_target),0,S2_maxobserved*10)</f>
        <v>31.461151780968066</v>
      </c>
      <c r="AL6" s="39"/>
      <c r="AM6" s="19"/>
    </row>
    <row r="7" spans="2:39">
      <c r="B7" s="17">
        <v>42</v>
      </c>
      <c r="C7" s="17">
        <v>0.83330000000000004</v>
      </c>
      <c r="D7" s="17">
        <v>6</v>
      </c>
      <c r="I7" s="44"/>
      <c r="J7" s="18"/>
      <c r="K7" s="19"/>
      <c r="L7" s="18"/>
      <c r="M7" s="31"/>
      <c r="N7" s="19"/>
      <c r="O7" s="18"/>
      <c r="P7" s="31"/>
      <c r="Q7" s="19"/>
      <c r="R7" s="18"/>
      <c r="S7" s="31"/>
      <c r="T7" s="19"/>
      <c r="U7" s="18"/>
      <c r="V7" s="31"/>
      <c r="W7" s="31"/>
      <c r="X7" s="19"/>
      <c r="Y7" s="18"/>
      <c r="Z7" s="19"/>
      <c r="AA7" s="18"/>
      <c r="AB7" s="31"/>
      <c r="AC7" s="19"/>
      <c r="AD7" s="18"/>
      <c r="AE7" s="31"/>
      <c r="AF7" s="19"/>
      <c r="AG7" s="18"/>
      <c r="AH7" s="31"/>
      <c r="AI7" s="31"/>
      <c r="AJ7" s="19"/>
      <c r="AK7" s="18"/>
      <c r="AL7" s="31"/>
      <c r="AM7" s="19"/>
    </row>
    <row r="8" spans="2:39">
      <c r="B8" s="17">
        <v>63</v>
      </c>
      <c r="C8" s="17">
        <v>0.64290000000000003</v>
      </c>
      <c r="D8" s="17">
        <v>14</v>
      </c>
      <c r="I8" s="44" t="s">
        <v>31</v>
      </c>
      <c r="J8" s="24" cm="1">
        <f t="array" ref="J8">MLE_MIN(S2_data[Interval Length],S2_data[Reliability],S2_data[Calibrations],GETMODEL(J2),J4)</f>
        <v>4.1962059362465262E-3</v>
      </c>
      <c r="K8" s="25"/>
      <c r="L8" s="24" cm="1">
        <f t="array" ref="L8:M8">MLE_MIN(S2_data[Interval Length],S2_data[Reliability],S2_data[Calibrations],GETMODEL(L2),L4:M4)</f>
        <v>3.5249738019164312E-2</v>
      </c>
      <c r="M8" s="35">
        <v>0.37666357994454197</v>
      </c>
      <c r="N8" s="25"/>
      <c r="O8" s="24" cm="1">
        <f t="array" ref="O8:P8">MLE_MIN(S2_data[Interval Length],S2_data[Reliability],S2_data[Calibrations],GETMODEL(O2),O4:P4)</f>
        <v>3.3558648914323534E-3</v>
      </c>
      <c r="P8" s="35">
        <v>0.56520382428398508</v>
      </c>
      <c r="Q8" s="25"/>
      <c r="R8" s="24" cm="1">
        <f t="array" ref="R8:S8">MLE_MIN(S2_data[Interval Length],S2_data[Reliability],S2_data[Calibrations],GETMODEL(R2),R4:S4)</f>
        <v>0.49587481555390345</v>
      </c>
      <c r="S8" s="35">
        <v>1.0301620285532999E-2</v>
      </c>
      <c r="T8" s="19"/>
      <c r="U8" s="24" cm="1">
        <f t="array" ref="U8:W8">MLE_MIN(S2_data[Interval Length],S2_data[Reliability],S2_data[Calibrations],GETMODEL(U2),U4:W4)</f>
        <v>0.40116901618567546</v>
      </c>
      <c r="V8" s="35">
        <v>155.98245697480763</v>
      </c>
      <c r="W8" s="31">
        <v>1.0330493630623897E-4</v>
      </c>
      <c r="X8" s="19"/>
      <c r="Y8" s="24" cm="1">
        <f t="array" ref="Y8">MLE_MIN(S2_data[Interval Length],S2_data[Reliability],S2_data[Calibrations],GETMODEL(Y2),Y4)</f>
        <v>2.1758554201709551E-2</v>
      </c>
      <c r="Z8" s="19"/>
      <c r="AA8" s="41" cm="1">
        <f t="array" ref="AA8:AB8">MLE_MIN(S2_data[Interval Length],S2_data[Reliability],S2_data[Calibrations],GETMODEL(AA2),AA4:AB4)</f>
        <v>3.8842364566642616E-3</v>
      </c>
      <c r="AB8" s="42">
        <v>8.1434124482267639E-7</v>
      </c>
      <c r="AC8" s="19"/>
      <c r="AD8" s="41" cm="1">
        <f t="array" ref="AD8:AE8">MLE_MIN(S2_data[Interval Length],S2_data[Reliability],S2_data[Calibrations],GETMODEL(AD2),AD4:AE4)</f>
        <v>4.5957646958308934E-3</v>
      </c>
      <c r="AE8" s="43">
        <v>210.12947942967133</v>
      </c>
      <c r="AF8" s="19"/>
      <c r="AG8" s="41" cm="1">
        <f t="array" ref="AG8:AI8">MLE_MIN(S2_data[Interval Length],S2_data[Reliability],S2_data[Calibrations],GETMODEL(AG2),AG4:AI4)</f>
        <v>11.214970693572621</v>
      </c>
      <c r="AH8" s="43">
        <v>5.1466445268934569E-2</v>
      </c>
      <c r="AI8" s="31">
        <v>1E-3</v>
      </c>
      <c r="AJ8" s="19"/>
      <c r="AK8" s="41" cm="1">
        <f t="array" ref="AK8:AL8">MLE_MIN(S2_data[Interval Length],S2_data[Reliability],S2_data[Calibrations],GETMODEL(AK2),AK4:AL4)</f>
        <v>5.9047629190661227E-3</v>
      </c>
      <c r="AL8" s="43">
        <v>2</v>
      </c>
      <c r="AM8" s="19"/>
    </row>
    <row r="9" spans="2:39">
      <c r="B9" s="17">
        <v>84</v>
      </c>
      <c r="C9" s="17">
        <v>0.61539999999999995</v>
      </c>
      <c r="D9" s="17">
        <v>13</v>
      </c>
      <c r="I9" s="44" t="s">
        <v>27</v>
      </c>
      <c r="J9" s="24" cm="1">
        <f t="array" ref="J9:J12">FSCORES(S2_data[Interval Length],S2_data[Reliability],S2_data[Calibrations],GETMODEL(J2),_xlfn.ANCHORARRAY(J8))</f>
        <v>0.62591240472754583</v>
      </c>
      <c r="K9" s="25"/>
      <c r="L9" s="24" cm="1">
        <f t="array" ref="L9:L12">FSCORES(S2_data[Interval Length],S2_data[Reliability],S2_data[Calibrations],GETMODEL(L2),_xlfn.ANCHORARRAY(L8))</f>
        <v>0.38740428143665945</v>
      </c>
      <c r="M9" s="35"/>
      <c r="N9" s="19"/>
      <c r="O9" s="24" cm="1">
        <f t="array" ref="O9:O12">FSCORES(S2_data[Interval Length],S2_data[Reliability],S2_data[Calibrations],GETMODEL(O2),_xlfn.ANCHORARRAY(O8))</f>
        <v>0.42185254703877856</v>
      </c>
      <c r="P9" s="35"/>
      <c r="Q9" s="19"/>
      <c r="R9" s="24" cm="1">
        <f t="array" ref="R9:R12">FSCORES(S2_data[Interval Length],S2_data[Reliability],S2_data[Calibrations],GETMODEL(R2),_xlfn.ANCHORARRAY(R8))</f>
        <v>0.47902482038760308</v>
      </c>
      <c r="S9" s="35"/>
      <c r="T9" s="19"/>
      <c r="U9" s="24" cm="1">
        <f t="array" ref="U9:U12">FSCORES(S2_data[Interval Length],S2_data[Reliability],S2_data[Calibrations],GETMODEL(U2),_xlfn.ANCHORARRAY(U8))</f>
        <v>0.83486121201839947</v>
      </c>
      <c r="V9" s="35"/>
      <c r="W9" s="31"/>
      <c r="X9" s="19"/>
      <c r="Y9" s="24" cm="1">
        <f t="array" ref="Y9:Y12">FSCORES(S2_data[Interval Length],S2_data[Reliability],S2_data[Calibrations],GETMODEL(Y2),_xlfn.ANCHORARRAY(Y8))</f>
        <v>2.9795509985366784</v>
      </c>
      <c r="Z9" s="19"/>
      <c r="AA9" s="24" cm="1">
        <f t="array" ref="AA9:AA12">FSCORES(S2_data[Interval Length],S2_data[Reliability],S2_data[Calibrations],GETMODEL(AA2),_xlfn.ANCHORARRAY(AA8))</f>
        <v>0.8036480603960473</v>
      </c>
      <c r="AB9" s="35"/>
      <c r="AC9" s="19"/>
      <c r="AD9" s="24" cm="1">
        <f t="array" ref="AD9:AD12">FSCORES(S2_data[Interval Length],S2_data[Reliability],S2_data[Calibrations],GETMODEL(AD2),_xlfn.ANCHORARRAY(AD8))</f>
        <v>0.86379347417398189</v>
      </c>
      <c r="AE9" s="35"/>
      <c r="AF9" s="19"/>
      <c r="AG9" s="24" cm="1">
        <f t="array" ref="AG9:AG12">FSCORES(S2_data[Interval Length],S2_data[Reliability],S2_data[Calibrations],GETMODEL(AG2),_xlfn.ANCHORARRAY(AG8))</f>
        <v>2.032070915538255</v>
      </c>
      <c r="AH9" s="35"/>
      <c r="AI9" s="31"/>
      <c r="AJ9" s="19"/>
      <c r="AK9" s="24" cm="1">
        <f t="array" ref="AK9:AK12">FSCORES(S2_data[Interval Length],S2_data[Reliability],S2_data[Calibrations],GETMODEL(AK2),_xlfn.ANCHORARRAY(AK8))</f>
        <v>0.37917418713952844</v>
      </c>
      <c r="AL9" s="35"/>
      <c r="AM9" s="19"/>
    </row>
    <row r="10" spans="2:39">
      <c r="B10" s="17">
        <v>140</v>
      </c>
      <c r="C10" s="17">
        <v>0.54549999999999998</v>
      </c>
      <c r="D10" s="17">
        <v>22</v>
      </c>
      <c r="I10" s="44" t="s">
        <v>28</v>
      </c>
      <c r="J10" s="24">
        <v>2.0842408153582999</v>
      </c>
      <c r="K10" s="25"/>
      <c r="L10" s="24">
        <v>2.1725008861548631</v>
      </c>
      <c r="M10" s="35"/>
      <c r="N10" s="19"/>
      <c r="O10" s="24">
        <v>2.1725008861548631</v>
      </c>
      <c r="P10" s="35"/>
      <c r="Q10" s="19"/>
      <c r="R10" s="24">
        <v>2.1725008861548631</v>
      </c>
      <c r="S10" s="35"/>
      <c r="T10" s="19"/>
      <c r="U10" s="24">
        <v>2.2873666252540787</v>
      </c>
      <c r="V10" s="35"/>
      <c r="W10" s="31"/>
      <c r="X10" s="19"/>
      <c r="Y10" s="24">
        <v>2.0842408153582999</v>
      </c>
      <c r="Z10" s="19"/>
      <c r="AA10" s="24">
        <v>2.1725008861548631</v>
      </c>
      <c r="AB10" s="35"/>
      <c r="AC10" s="19"/>
      <c r="AD10" s="24">
        <v>2.1725008861548631</v>
      </c>
      <c r="AE10" s="35"/>
      <c r="AF10" s="19"/>
      <c r="AG10" s="24">
        <v>2.2873666252540787</v>
      </c>
      <c r="AH10" s="35"/>
      <c r="AI10" s="31"/>
      <c r="AJ10" s="19"/>
      <c r="AK10" s="24">
        <v>2.1725008861548631</v>
      </c>
      <c r="AL10" s="35"/>
      <c r="AM10" s="19"/>
    </row>
    <row r="11" spans="2:39">
      <c r="B11" s="17">
        <v>189</v>
      </c>
      <c r="C11" s="17">
        <v>0.40820000000000001</v>
      </c>
      <c r="D11" s="17">
        <v>49</v>
      </c>
      <c r="I11" s="44" t="s">
        <v>30</v>
      </c>
      <c r="J11" s="26">
        <v>26.629603121314062</v>
      </c>
      <c r="K11" s="19"/>
      <c r="L11" s="26">
        <v>11.405159989330157</v>
      </c>
      <c r="M11" s="31"/>
      <c r="N11" s="19"/>
      <c r="O11" s="26">
        <v>13.668836640085541</v>
      </c>
      <c r="P11" s="31"/>
      <c r="Q11" s="19"/>
      <c r="R11" s="26">
        <v>17.709067950210454</v>
      </c>
      <c r="S11" s="31"/>
      <c r="T11" s="19"/>
      <c r="U11" s="26">
        <v>47.266037023044873</v>
      </c>
      <c r="V11" s="31"/>
      <c r="W11" s="31"/>
      <c r="X11" s="19"/>
      <c r="Y11" s="26">
        <v>99.364450258121508</v>
      </c>
      <c r="Z11" s="19"/>
      <c r="AA11" s="26">
        <v>43.10944043815433</v>
      </c>
      <c r="AB11" s="31"/>
      <c r="AC11" s="19"/>
      <c r="AD11" s="26">
        <v>47.635607817606136</v>
      </c>
      <c r="AE11" s="31"/>
      <c r="AF11" s="19"/>
      <c r="AG11" s="26">
        <v>92.136105308524492</v>
      </c>
      <c r="AH11" s="31"/>
      <c r="AI11" s="31"/>
      <c r="AJ11" s="19"/>
      <c r="AK11" s="26">
        <v>10.886635932777995</v>
      </c>
      <c r="AL11" s="31"/>
      <c r="AM11" s="19"/>
    </row>
    <row r="12" spans="2:39">
      <c r="B12" s="17">
        <v>269.5</v>
      </c>
      <c r="C12" s="17">
        <v>0.5</v>
      </c>
      <c r="D12" s="17">
        <v>18</v>
      </c>
      <c r="I12" s="44" t="s">
        <v>29</v>
      </c>
      <c r="J12" s="27" t="b">
        <v>1</v>
      </c>
      <c r="K12" s="19"/>
      <c r="L12" s="27" t="b">
        <v>1</v>
      </c>
      <c r="M12" s="31"/>
      <c r="N12" s="19"/>
      <c r="O12" s="38" t="b">
        <v>1</v>
      </c>
      <c r="P12" s="31"/>
      <c r="Q12" s="19"/>
      <c r="R12" s="27" t="b">
        <v>1</v>
      </c>
      <c r="S12" s="31"/>
      <c r="T12" s="19"/>
      <c r="U12" s="27" t="b">
        <v>1</v>
      </c>
      <c r="V12" s="31"/>
      <c r="W12" s="31"/>
      <c r="X12" s="19"/>
      <c r="Y12" s="27" t="b">
        <v>0</v>
      </c>
      <c r="Z12" s="19"/>
      <c r="AA12" s="27" t="b">
        <v>1</v>
      </c>
      <c r="AB12" s="31"/>
      <c r="AC12" s="19"/>
      <c r="AD12" s="27" t="b">
        <v>1</v>
      </c>
      <c r="AE12" s="31"/>
      <c r="AF12" s="19"/>
      <c r="AG12" s="27" t="b">
        <v>1</v>
      </c>
      <c r="AH12" s="31"/>
      <c r="AI12" s="31"/>
      <c r="AJ12" s="19"/>
      <c r="AK12" s="27" t="b">
        <v>1</v>
      </c>
      <c r="AL12" s="31"/>
      <c r="AM12" s="19"/>
    </row>
    <row r="13" spans="2:39">
      <c r="B13" s="17">
        <v>346.5</v>
      </c>
      <c r="C13" s="17">
        <v>0.33329999999999999</v>
      </c>
      <c r="D13" s="17">
        <v>6</v>
      </c>
      <c r="I13" s="47" t="s">
        <v>42</v>
      </c>
      <c r="J13" s="28">
        <f>J17/(J11/100)*J16^0.25</f>
        <v>116.32892224685553</v>
      </c>
      <c r="K13" s="16"/>
      <c r="L13" s="28">
        <f>L17/(L11/100)*L16^0.25</f>
        <v>410.77621794807061</v>
      </c>
      <c r="M13" s="36"/>
      <c r="N13" s="16"/>
      <c r="O13" s="28">
        <f>O17/(O11/100)*O16^0.25</f>
        <v>262.62203652598583</v>
      </c>
      <c r="P13" s="36"/>
      <c r="Q13" s="16"/>
      <c r="R13" s="28">
        <f>R17/(R11/100)*R16^0.25</f>
        <v>244.51536426904079</v>
      </c>
      <c r="S13" s="36"/>
      <c r="T13" s="16"/>
      <c r="U13" s="28">
        <f>U17/(U11/100)*U16^0.25</f>
        <v>83.094012257427948</v>
      </c>
      <c r="V13" s="36"/>
      <c r="W13" s="36"/>
      <c r="X13" s="16"/>
      <c r="Y13" s="28">
        <f>Y17/(Y11/100)*Y16^0.25</f>
        <v>28.109089388473258</v>
      </c>
      <c r="Z13" s="16"/>
      <c r="AA13" s="28">
        <f>AA17/(AA11/100)*AA16^0.25</f>
        <v>71.857343050804957</v>
      </c>
      <c r="AB13" s="36"/>
      <c r="AC13" s="16"/>
      <c r="AD13" s="28">
        <f>AD17/(AD11/100)*AD16^0.25</f>
        <v>19.969544914388308</v>
      </c>
      <c r="AE13" s="36"/>
      <c r="AF13" s="16"/>
      <c r="AG13" s="28">
        <f>AG17/(AG11/100)*AG16^0.25</f>
        <v>11.866528043608856</v>
      </c>
      <c r="AH13" s="36"/>
      <c r="AI13" s="36"/>
      <c r="AJ13" s="16"/>
      <c r="AK13" s="28">
        <f>AK17/(AK11/100)*AK16^0.25</f>
        <v>50.473266679261293</v>
      </c>
      <c r="AL13" s="31"/>
      <c r="AM13" s="19"/>
    </row>
    <row r="14" spans="2:39">
      <c r="I14" s="48"/>
      <c r="J14" s="29"/>
      <c r="K14" s="30"/>
      <c r="L14" s="29"/>
      <c r="M14" s="37"/>
      <c r="N14" s="30"/>
      <c r="O14" s="29"/>
      <c r="P14" s="37"/>
      <c r="Q14" s="30"/>
      <c r="R14" s="29"/>
      <c r="S14" s="37"/>
      <c r="T14" s="40"/>
      <c r="U14" s="29"/>
      <c r="V14" s="37"/>
      <c r="W14" s="37"/>
      <c r="X14" s="30"/>
      <c r="Y14" s="29"/>
      <c r="Z14" s="30"/>
      <c r="AA14" s="29"/>
      <c r="AB14" s="37"/>
      <c r="AC14" s="30"/>
      <c r="AD14" s="29"/>
      <c r="AE14" s="37"/>
      <c r="AF14" s="30"/>
      <c r="AG14" s="29"/>
      <c r="AH14" s="37"/>
      <c r="AI14" s="37"/>
      <c r="AJ14" s="30"/>
      <c r="AK14" s="29"/>
      <c r="AL14" s="37"/>
      <c r="AM14" s="30"/>
    </row>
    <row r="16" spans="2:39" hidden="1">
      <c r="F16" s="77" t="s">
        <v>23</v>
      </c>
      <c r="G16" s="68">
        <f>MAX(S2_data[Interval Length])</f>
        <v>346.5</v>
      </c>
      <c r="I16" s="49" t="s">
        <v>40</v>
      </c>
      <c r="J16" s="54" cm="1">
        <f t="array" ref="J16">BISECT(_xlfn.LAMBDA(_xlpm.t, GETMODEL(J2)(_xlpm.t,_xlfn.ANCHORARRAY(J8))-1+S2_target),0,S2_maxobserved*10)</f>
        <v>383.54597856639884</v>
      </c>
      <c r="K16" s="55"/>
      <c r="L16" s="54" cm="1">
        <f t="array" ref="L16">BISECT(_xlfn.LAMBDA(_xlpm.t, GETMODEL(L2)(_xlpm.t,_xlfn.ANCHORARRAY(L8))-1+S2_target),0,S2_maxobserved*10)</f>
        <v>2006.4786148443818</v>
      </c>
      <c r="M16" s="62"/>
      <c r="N16" s="55"/>
      <c r="O16" s="54" cm="1">
        <f t="array" ref="O16">BISECT(_xlfn.LAMBDA(_xlpm.t, GETMODEL(O2)(_xlpm.t,_xlfn.ANCHORARRAY(O8))-1+S2_target),0,S2_maxobserved*10)</f>
        <v>691.60593541804701</v>
      </c>
      <c r="P16" s="62"/>
      <c r="Q16" s="55"/>
      <c r="R16" s="54" cm="1">
        <f t="array" ref="R16">BISECT(_xlfn.LAMBDA(_xlpm.t, GETMODEL(R2)(_xlpm.t,_xlfn.ANCHORARRAY(R8))-1+S2_target),0,S2_maxobserved*10)</f>
        <v>1464.250129815191</v>
      </c>
      <c r="S16" s="67"/>
      <c r="T16" s="68"/>
      <c r="U16" s="54" cm="1">
        <f t="array" ref="U16">BISECT(_xlfn.LAMBDA(_xlpm.t, GETMODEL(U2)(_xlpm.t,_xlfn.ANCHORARRAY(U8))-1+S2_target),0,S2_maxobserved*10)</f>
        <v>991.02251666598022</v>
      </c>
      <c r="V16" s="67"/>
      <c r="W16" s="71"/>
      <c r="X16" s="68"/>
      <c r="Y16" s="54" cm="1">
        <f t="array" ref="Y16">BISECT(_xlfn.LAMBDA(_xlpm.t, GETMODEL(Y2)(_xlpm.t,_xlfn.ANCHORARRAY(Y8))-1+S2_target),0,S2_maxobserved*10)</f>
        <v>253.46563323691953</v>
      </c>
      <c r="Z16" s="68"/>
      <c r="AA16" s="54" cm="1">
        <f t="array" ref="AA16">BISECT(_xlfn.LAMBDA(_xlpm.t, GETMODEL(AA2)(_xlpm.t,_xlfn.ANCHORARRAY(AA8))-1+S2_target),0,S2_maxobserved*10)</f>
        <v>383.51468925713561</v>
      </c>
      <c r="AB16" s="67"/>
      <c r="AC16" s="68"/>
      <c r="AD16" s="54" cm="1">
        <f t="array" ref="AD16">BISECT(_xlfn.LAMBDA(_xlpm.t, GETMODEL(AD2)(_xlpm.t,_xlfn.ANCHORARRAY(AD8))-1+S2_target),0,S2_maxobserved*10)</f>
        <v>511.77554923226126</v>
      </c>
      <c r="AE16" s="67"/>
      <c r="AF16" s="68"/>
      <c r="AG16" s="54" cm="1">
        <f t="array" ref="AG16">BISECT(_xlfn.LAMBDA(_xlpm.t, GETMODEL(AG2)(_xlpm.t,_xlfn.ANCHORARRAY(AG8))-1+S2_target),0,S2_maxobserved*10)</f>
        <v>893.08767893817276</v>
      </c>
      <c r="AH16" s="67"/>
      <c r="AI16" s="71"/>
      <c r="AJ16" s="68"/>
      <c r="AK16" s="54" cm="1">
        <f t="array" ref="AK16">BISECT(_xlfn.LAMBDA(_xlpm.t, GETMODEL(AK2)(_xlpm.t,_xlfn.ANCHORARRAY(AK8))-1+S2_target),0,S2_maxobserved*10)</f>
        <v>911.63387163542211</v>
      </c>
      <c r="AL16" s="67"/>
      <c r="AM16" s="68"/>
    </row>
    <row r="17" spans="6:39" hidden="1">
      <c r="F17" s="56"/>
      <c r="G17" s="57"/>
      <c r="I17" s="50" t="s">
        <v>41</v>
      </c>
      <c r="J17" s="56" cm="1">
        <f t="array" ref="J17">_xlfn.LAMBDA(_xlpm.interval,_xlpm.groups,
    _xlfn.LET(_xlpm.ilookup, INDEX(_xlpm.groups,0,1),
        _xlpm.ng, INDEX(_xlpm.groups,0,2),
        _xlfn.XLOOKUP(_xlpm.interval,_xlpm.ilookup,_xlpm.ng)
))(J6,_xlfn.ANCHORARRAY(S2_groups))</f>
        <v>7</v>
      </c>
      <c r="K17" s="57"/>
      <c r="L17" s="56" cm="1">
        <f t="array" ref="L17">_xlfn.LAMBDA(_xlpm.interval,_xlpm.groups,
    _xlfn.LET(_xlpm.ilookup, INDEX(_xlpm.groups,0,1),
        _xlpm.ng, INDEX(_xlpm.groups,0,2),
        _xlfn.XLOOKUP(_xlpm.interval,_xlpm.ilookup,_xlpm.ng)
))(L6,_xlfn.ANCHORARRAY(S2_groups))</f>
        <v>7</v>
      </c>
      <c r="M17" s="63"/>
      <c r="N17" s="57"/>
      <c r="O17" s="56" cm="1">
        <f t="array" ref="O17">_xlfn.LAMBDA(_xlpm.interval,_xlpm.groups,
    _xlfn.LET(_xlpm.ilookup, INDEX(_xlpm.groups,0,1),
        _xlpm.ng, INDEX(_xlpm.groups,0,2),
        _xlfn.XLOOKUP(_xlpm.interval,_xlpm.ilookup,_xlpm.ng)
))(O6,_xlfn.ANCHORARRAY(S2_groups))</f>
        <v>7</v>
      </c>
      <c r="P17" s="63"/>
      <c r="Q17" s="57"/>
      <c r="R17" s="56" cm="1">
        <f t="array" ref="R17">_xlfn.LAMBDA(_xlpm.interval,_xlpm.groups,
    _xlfn.LET(_xlpm.ilookup, INDEX(_xlpm.groups,0,1),
        _xlpm.ng, INDEX(_xlpm.groups,0,2),
        _xlfn.XLOOKUP(_xlpm.interval,_xlpm.ilookup,_xlpm.ng)
))(R6,_xlfn.ANCHORARRAY(S2_groups))</f>
        <v>7</v>
      </c>
      <c r="S17" s="64"/>
      <c r="T17" s="69"/>
      <c r="U17" s="56" cm="1">
        <f t="array" ref="U17">_xlfn.LAMBDA(_xlpm.interval,_xlpm.groups,
    _xlfn.LET(_xlpm.ilookup, INDEX(_xlpm.groups,0,1),
        _xlpm.ng, INDEX(_xlpm.groups,0,2),
        _xlfn.XLOOKUP(_xlpm.interval,_xlpm.ilookup,_xlpm.ng)
))(U6,_xlfn.ANCHORARRAY(S2_groups))</f>
        <v>7</v>
      </c>
      <c r="V17" s="64"/>
      <c r="W17" s="63"/>
      <c r="X17" s="57"/>
      <c r="Y17" s="56" cm="1">
        <f t="array" ref="Y17">_xlfn.LAMBDA(_xlpm.interval,_xlpm.groups,
    _xlfn.LET(_xlpm.ilookup, INDEX(_xlpm.groups,0,1),
        _xlpm.ng, INDEX(_xlpm.groups,0,2),
        _xlfn.XLOOKUP(_xlpm.interval,_xlpm.ilookup,_xlpm.ng)
))(Y6,_xlfn.ANCHORARRAY(S2_groups))</f>
        <v>7</v>
      </c>
      <c r="Z17" s="57"/>
      <c r="AA17" s="56" cm="1">
        <f t="array" ref="AA17">_xlfn.LAMBDA(_xlpm.interval,_xlpm.groups,
    _xlfn.LET(_xlpm.ilookup, INDEX(_xlpm.groups,0,1),
        _xlpm.ng, INDEX(_xlpm.groups,0,2),
        _xlfn.XLOOKUP(_xlpm.interval,_xlpm.ilookup,_xlpm.ng)
))(AA6,_xlfn.ANCHORARRAY(S2_groups))</f>
        <v>7</v>
      </c>
      <c r="AB17" s="64"/>
      <c r="AC17" s="57"/>
      <c r="AD17" s="56" cm="1">
        <f t="array" ref="AD17">_xlfn.LAMBDA(_xlpm.interval,_xlpm.groups,
    _xlfn.LET(_xlpm.ilookup, INDEX(_xlpm.groups,0,1),
        _xlpm.ng, INDEX(_xlpm.groups,0,2),
        _xlfn.XLOOKUP(_xlpm.interval,_xlpm.ilookup,_xlpm.ng)
))(AD6,_xlfn.ANCHORARRAY(S2_groups))</f>
        <v>2</v>
      </c>
      <c r="AE17" s="64"/>
      <c r="AF17" s="57"/>
      <c r="AG17" s="56" cm="1">
        <f t="array" ref="AG17">_xlfn.LAMBDA(_xlpm.interval,_xlpm.groups,
    _xlfn.LET(_xlpm.ilookup, INDEX(_xlpm.groups,0,1),
        _xlpm.ng, INDEX(_xlpm.groups,0,2),
        _xlfn.XLOOKUP(_xlpm.interval,_xlpm.ilookup,_xlpm.ng)
))(AG6,_xlfn.ANCHORARRAY(S2_groups))</f>
        <v>2</v>
      </c>
      <c r="AH17" s="64"/>
      <c r="AI17" s="63"/>
      <c r="AJ17" s="57"/>
      <c r="AK17" s="56" cm="1">
        <f t="array" ref="AK17">_xlfn.LAMBDA(_xlpm.interval,_xlpm.groups,
    _xlfn.LET(_xlpm.ilookup, INDEX(_xlpm.groups,0,1),
        _xlpm.ng, INDEX(_xlpm.groups,0,2),
        _xlfn.XLOOKUP(_xlpm.interval,_xlpm.ilookup,_xlpm.ng)
))(AK6,_xlfn.ANCHORARRAY(S2_groups))</f>
        <v>1</v>
      </c>
      <c r="AL17" s="64"/>
      <c r="AM17" s="57"/>
    </row>
    <row r="18" spans="6:39" hidden="1">
      <c r="F18" s="56" t="s">
        <v>57</v>
      </c>
      <c r="G18" s="57"/>
      <c r="I18" s="51"/>
      <c r="J18" s="56"/>
      <c r="K18" s="57"/>
      <c r="L18" s="56"/>
      <c r="M18" s="63"/>
      <c r="N18" s="57"/>
      <c r="O18" s="56"/>
      <c r="P18" s="63"/>
      <c r="Q18" s="57"/>
      <c r="R18" s="56"/>
      <c r="S18" s="64"/>
      <c r="T18" s="69"/>
      <c r="U18" s="56"/>
      <c r="V18" s="64"/>
      <c r="W18" s="63"/>
      <c r="X18" s="57"/>
      <c r="Y18" s="56"/>
      <c r="Z18" s="57"/>
      <c r="AA18" s="56"/>
      <c r="AB18" s="64"/>
      <c r="AC18" s="57"/>
      <c r="AD18" s="56"/>
      <c r="AE18" s="64"/>
      <c r="AF18" s="57"/>
      <c r="AG18" s="56"/>
      <c r="AH18" s="64"/>
      <c r="AI18" s="63"/>
      <c r="AJ18" s="57"/>
      <c r="AK18" s="56"/>
      <c r="AL18" s="64"/>
      <c r="AM18" s="57"/>
    </row>
    <row r="19" spans="6:39" hidden="1">
      <c r="F19" s="56">
        <v>0</v>
      </c>
      <c r="G19" s="78">
        <f>C2</f>
        <v>0.8</v>
      </c>
      <c r="I19" s="76" t="s">
        <v>24</v>
      </c>
      <c r="J19" s="72" t="s">
        <v>25</v>
      </c>
      <c r="K19" s="73"/>
      <c r="L19" s="72" t="s">
        <v>25</v>
      </c>
      <c r="M19" s="74"/>
      <c r="N19" s="73"/>
      <c r="O19" s="72" t="s">
        <v>25</v>
      </c>
      <c r="P19" s="74"/>
      <c r="Q19" s="73"/>
      <c r="R19" s="72" t="s">
        <v>25</v>
      </c>
      <c r="S19" s="75"/>
      <c r="T19" s="73"/>
      <c r="U19" s="72" t="s">
        <v>25</v>
      </c>
      <c r="V19" s="75"/>
      <c r="W19" s="74"/>
      <c r="X19" s="73"/>
      <c r="Y19" s="72" t="s">
        <v>25</v>
      </c>
      <c r="Z19" s="73"/>
      <c r="AA19" s="72" t="s">
        <v>25</v>
      </c>
      <c r="AB19" s="75"/>
      <c r="AC19" s="73"/>
      <c r="AD19" s="72" t="s">
        <v>25</v>
      </c>
      <c r="AE19" s="75"/>
      <c r="AF19" s="73"/>
      <c r="AG19" s="72" t="s">
        <v>25</v>
      </c>
      <c r="AH19" s="75"/>
      <c r="AI19" s="74"/>
      <c r="AJ19" s="73"/>
      <c r="AK19" s="72" t="s">
        <v>25</v>
      </c>
      <c r="AL19" s="64"/>
      <c r="AM19" s="57"/>
    </row>
    <row r="20" spans="6:39" hidden="1">
      <c r="F20" s="56">
        <f>G16</f>
        <v>346.5</v>
      </c>
      <c r="G20" s="78">
        <f>C2</f>
        <v>0.8</v>
      </c>
      <c r="I20" s="52" cm="1">
        <f t="array" ref="I20:I39">LINSPACE(0,$G$16, 20)</f>
        <v>0</v>
      </c>
      <c r="J20" s="58" cm="1">
        <f t="array" ref="J20:J39">GETMODEL(J2)(_xlfn.ANCHORARRAY($I20),_xlfn.ANCHORARRAY(J8))</f>
        <v>1</v>
      </c>
      <c r="K20" s="59"/>
      <c r="L20" s="58" cm="1">
        <f t="array" ref="L20:L39">GETMODEL(L2)(_xlfn.ANCHORARRAY($I20),_xlfn.ANCHORARRAY(L8))</f>
        <v>1</v>
      </c>
      <c r="M20" s="64"/>
      <c r="N20" s="59"/>
      <c r="O20" s="58" cm="1">
        <f t="array" ref="O20:O39">GETMODEL(O2)(_xlfn.ANCHORARRAY($I20),_xlfn.ANCHORARRAY(O8))</f>
        <v>1</v>
      </c>
      <c r="P20" s="64"/>
      <c r="Q20" s="59"/>
      <c r="R20" s="58" cm="1">
        <f t="array" ref="R20:R39">GETMODEL(R2)(_xlfn.ANCHORARRAY($I20),_xlfn.ANCHORARRAY(R8))</f>
        <v>0.84441671491079973</v>
      </c>
      <c r="S20" s="64"/>
      <c r="T20" s="59"/>
      <c r="U20" s="58" cm="1">
        <f t="array" ref="U20:U39">GETMODEL(U2)(_xlfn.ANCHORARRAY($I20),_xlfn.ANCHORARRAY(U8))</f>
        <v>0.88562572713922205</v>
      </c>
      <c r="V20" s="64"/>
      <c r="W20" s="64"/>
      <c r="X20" s="59"/>
      <c r="Y20" s="58" cm="1">
        <f t="array" ref="Y20:Y39">GETMODEL(Y2)(_xlfn.ANCHORARRAY($I20),_xlfn.ANCHORARRAY(Y8))</f>
        <v>1</v>
      </c>
      <c r="Z20" s="59"/>
      <c r="AA20" s="58" cm="1">
        <f t="array" ref="AA20:AA39">GETMODEL(AA2)(_xlfn.ANCHORARRAY($I20),_xlfn.ANCHORARRAY(AA8))</f>
        <v>1</v>
      </c>
      <c r="AB20" s="64"/>
      <c r="AC20" s="59"/>
      <c r="AD20" s="58" cm="1">
        <f t="array" ref="AD20:AD39">GETMODEL(AD2)(_xlfn.ANCHORARRAY($I20),_xlfn.ANCHORARRAY(AD8))</f>
        <v>0.7242627143991629</v>
      </c>
      <c r="AE20" s="64"/>
      <c r="AF20" s="59"/>
      <c r="AG20" s="58" cm="1">
        <f t="array" ref="AG20:AG39">GETMODEL(AG2)(_xlfn.ANCHORARRAY($I20),_xlfn.ANCHORARRAY(AG8))</f>
        <v>0.52052308040129014</v>
      </c>
      <c r="AH20" s="64"/>
      <c r="AI20" s="64"/>
      <c r="AJ20" s="59"/>
      <c r="AK20" s="58" cm="1">
        <f t="array" ref="AK20:AK39">GETMODEL(AK2)(_xlfn.ANCHORARRAY($I20),_xlfn.ANCHORARRAY(AK8))</f>
        <v>1</v>
      </c>
      <c r="AL20" s="64"/>
      <c r="AM20" s="57"/>
    </row>
    <row r="21" spans="6:39" hidden="1">
      <c r="F21" s="56"/>
      <c r="G21" s="57"/>
      <c r="I21" s="52">
        <v>18.236842105263158</v>
      </c>
      <c r="J21" s="58">
        <v>0.92632925081277617</v>
      </c>
      <c r="K21" s="59"/>
      <c r="L21" s="58">
        <v>0.82945480118948722</v>
      </c>
      <c r="M21" s="64"/>
      <c r="N21" s="57"/>
      <c r="O21" s="58">
        <v>0.8136780060406209</v>
      </c>
      <c r="P21" s="64"/>
      <c r="Q21" s="57"/>
      <c r="R21" s="58">
        <v>0.77347295778074732</v>
      </c>
      <c r="S21" s="64"/>
      <c r="T21" s="57"/>
      <c r="U21" s="58">
        <v>0.76975598907950804</v>
      </c>
      <c r="V21" s="64"/>
      <c r="W21" s="63"/>
      <c r="X21" s="57"/>
      <c r="Y21" s="58">
        <v>0.99924634060487183</v>
      </c>
      <c r="Z21" s="57"/>
      <c r="AA21" s="58">
        <v>0.93136219142306298</v>
      </c>
      <c r="AB21" s="64"/>
      <c r="AC21" s="57"/>
      <c r="AD21" s="58">
        <v>0.70721442804620271</v>
      </c>
      <c r="AE21" s="64"/>
      <c r="AF21" s="57"/>
      <c r="AG21" s="58">
        <v>0.51325425437904104</v>
      </c>
      <c r="AH21" s="64"/>
      <c r="AI21" s="63"/>
      <c r="AJ21" s="57"/>
      <c r="AK21" s="58">
        <v>0.86741961510137</v>
      </c>
      <c r="AL21" s="64"/>
      <c r="AM21" s="57"/>
    </row>
    <row r="22" spans="6:39" hidden="1">
      <c r="F22" s="72" t="s">
        <v>26</v>
      </c>
      <c r="G22" s="73" t="s">
        <v>41</v>
      </c>
      <c r="I22" s="52">
        <v>36.473684210526315</v>
      </c>
      <c r="J22" s="58">
        <v>0.85808588091135918</v>
      </c>
      <c r="K22" s="59"/>
      <c r="L22" s="58">
        <v>0.73243890451909721</v>
      </c>
      <c r="M22" s="64"/>
      <c r="N22" s="57"/>
      <c r="O22" s="58">
        <v>0.7370652623573356</v>
      </c>
      <c r="P22" s="64"/>
      <c r="Q22" s="57"/>
      <c r="R22" s="58">
        <v>0.71588458625742124</v>
      </c>
      <c r="S22" s="64"/>
      <c r="T22" s="59"/>
      <c r="U22" s="58">
        <v>0.68566179259478788</v>
      </c>
      <c r="V22" s="64"/>
      <c r="W22" s="63"/>
      <c r="X22" s="57"/>
      <c r="Y22" s="58">
        <v>0.99116282978666748</v>
      </c>
      <c r="Z22" s="57"/>
      <c r="AA22" s="58">
        <v>0.86696579404572027</v>
      </c>
      <c r="AB22" s="64"/>
      <c r="AC22" s="57"/>
      <c r="AD22" s="58">
        <v>0.68956387585260714</v>
      </c>
      <c r="AE22" s="64"/>
      <c r="AF22" s="57"/>
      <c r="AG22" s="58">
        <v>0.50598102221341179</v>
      </c>
      <c r="AH22" s="64"/>
      <c r="AI22" s="63"/>
      <c r="AJ22" s="57"/>
      <c r="AK22" s="58">
        <v>0.77866801865878088</v>
      </c>
      <c r="AL22" s="64"/>
      <c r="AM22" s="57"/>
    </row>
    <row r="23" spans="6:39" hidden="1">
      <c r="F23" s="58" cm="1">
        <f t="array" ref="F23:G32">NGROUP(_xlfn.VSTACK(J6,L6,O6,R6,U6,Y6,AA6,AD6,AG6,AK6))</f>
        <v>53.177454762335401</v>
      </c>
      <c r="G23" s="57">
        <v>7</v>
      </c>
      <c r="I23" s="52">
        <v>54.710526315789473</v>
      </c>
      <c r="J23" s="58">
        <v>0.79487005119764043</v>
      </c>
      <c r="K23" s="59"/>
      <c r="L23" s="58">
        <v>0.66715994761779085</v>
      </c>
      <c r="M23" s="64"/>
      <c r="N23" s="57"/>
      <c r="O23" s="58">
        <v>0.68136725501322604</v>
      </c>
      <c r="P23" s="64"/>
      <c r="Q23" s="57"/>
      <c r="R23" s="58">
        <v>0.66871225704725124</v>
      </c>
      <c r="S23" s="64"/>
      <c r="T23" s="59"/>
      <c r="U23" s="58">
        <v>0.62318971157390557</v>
      </c>
      <c r="V23" s="64"/>
      <c r="W23" s="63"/>
      <c r="X23" s="57"/>
      <c r="Y23" s="58">
        <v>0.96705590319033496</v>
      </c>
      <c r="Z23" s="57"/>
      <c r="AA23" s="58">
        <v>0.80658488082808466</v>
      </c>
      <c r="AB23" s="64"/>
      <c r="AC23" s="57"/>
      <c r="AD23" s="58">
        <v>0.67134375190385964</v>
      </c>
      <c r="AE23" s="64"/>
      <c r="AF23" s="57"/>
      <c r="AG23" s="58">
        <v>0.498705801179399</v>
      </c>
      <c r="AH23" s="64"/>
      <c r="AI23" s="63"/>
      <c r="AJ23" s="57"/>
      <c r="AK23" s="58">
        <v>0.71395288988080285</v>
      </c>
      <c r="AL23" s="64"/>
      <c r="AM23" s="57"/>
    </row>
    <row r="24" spans="6:39" hidden="1">
      <c r="F24" s="58">
        <v>22.932420649303822</v>
      </c>
      <c r="G24" s="57">
        <v>7</v>
      </c>
      <c r="I24" s="52">
        <v>72.94736842105263</v>
      </c>
      <c r="J24" s="58">
        <v>0.73631137901942334</v>
      </c>
      <c r="K24" s="59"/>
      <c r="L24" s="58">
        <v>0.61910881841741483</v>
      </c>
      <c r="M24" s="64"/>
      <c r="N24" s="57"/>
      <c r="O24" s="58">
        <v>0.63674017653392789</v>
      </c>
      <c r="P24" s="64"/>
      <c r="Q24" s="57"/>
      <c r="R24" s="58">
        <v>0.62941412479801007</v>
      </c>
      <c r="S24" s="64"/>
      <c r="T24" s="59"/>
      <c r="U24" s="58">
        <v>0.57485464817024168</v>
      </c>
      <c r="V24" s="64"/>
      <c r="W24" s="63"/>
      <c r="X24" s="57"/>
      <c r="Y24" s="58">
        <v>0.92293682361051077</v>
      </c>
      <c r="Z24" s="57"/>
      <c r="AA24" s="58">
        <v>0.75000290658047331</v>
      </c>
      <c r="AB24" s="64"/>
      <c r="AC24" s="57"/>
      <c r="AD24" s="58">
        <v>0.65259301092407707</v>
      </c>
      <c r="AE24" s="64"/>
      <c r="AF24" s="57"/>
      <c r="AG24" s="58">
        <v>0.49143101053585303</v>
      </c>
      <c r="AH24" s="64"/>
      <c r="AI24" s="63"/>
      <c r="AJ24" s="57"/>
      <c r="AK24" s="58">
        <v>0.66316951647561018</v>
      </c>
      <c r="AL24" s="64"/>
      <c r="AM24" s="57"/>
    </row>
    <row r="25" spans="6:39" hidden="1">
      <c r="F25" s="58">
        <v>20.973129648773465</v>
      </c>
      <c r="G25" s="57">
        <v>7</v>
      </c>
      <c r="I25" s="52">
        <v>91.18421052631578</v>
      </c>
      <c r="J25" s="58">
        <v>0.68206676809198452</v>
      </c>
      <c r="K25" s="59"/>
      <c r="L25" s="58">
        <v>0.58169027042942489</v>
      </c>
      <c r="M25" s="64"/>
      <c r="N25" s="57"/>
      <c r="O25" s="58">
        <v>0.59925386185877461</v>
      </c>
      <c r="P25" s="64"/>
      <c r="Q25" s="57"/>
      <c r="R25" s="58">
        <v>0.59612457056361046</v>
      </c>
      <c r="S25" s="64"/>
      <c r="T25" s="59"/>
      <c r="U25" s="58">
        <v>0.53615416581097319</v>
      </c>
      <c r="V25" s="64"/>
      <c r="W25" s="63"/>
      <c r="X25" s="57"/>
      <c r="Y25" s="58">
        <v>0.85999245427531579</v>
      </c>
      <c r="Z25" s="57"/>
      <c r="AA25" s="58">
        <v>0.69701250713567731</v>
      </c>
      <c r="AB25" s="64"/>
      <c r="AC25" s="57"/>
      <c r="AD25" s="58">
        <v>0.63335673200736031</v>
      </c>
      <c r="AE25" s="64"/>
      <c r="AF25" s="57"/>
      <c r="AG25" s="58">
        <v>0.48415906911228856</v>
      </c>
      <c r="AH25" s="64"/>
      <c r="AI25" s="63"/>
      <c r="AJ25" s="57"/>
      <c r="AK25" s="58">
        <v>0.6215511132284286</v>
      </c>
      <c r="AL25" s="64"/>
      <c r="AM25" s="57"/>
    </row>
    <row r="26" spans="6:39" hidden="1">
      <c r="F26" s="58">
        <v>10.969123296963517</v>
      </c>
      <c r="G26" s="57">
        <v>7</v>
      </c>
      <c r="I26" s="52">
        <v>109.42105263157893</v>
      </c>
      <c r="J26" s="58">
        <v>0.63181839829093966</v>
      </c>
      <c r="K26" s="59"/>
      <c r="L26" s="58">
        <v>0.55140156752465963</v>
      </c>
      <c r="M26" s="64"/>
      <c r="N26" s="57"/>
      <c r="O26" s="58">
        <v>0.56685435543074192</v>
      </c>
      <c r="P26" s="64"/>
      <c r="Q26" s="57"/>
      <c r="R26" s="58">
        <v>0.56750317488570956</v>
      </c>
      <c r="S26" s="64"/>
      <c r="T26" s="59"/>
      <c r="U26" s="58">
        <v>0.50431421733447834</v>
      </c>
      <c r="V26" s="64"/>
      <c r="W26" s="63"/>
      <c r="X26" s="57"/>
      <c r="Y26" s="58">
        <v>0.78271710665499417</v>
      </c>
      <c r="Z26" s="57"/>
      <c r="AA26" s="58">
        <v>0.64741528858142683</v>
      </c>
      <c r="AB26" s="64"/>
      <c r="AC26" s="57"/>
      <c r="AD26" s="58">
        <v>0.61368584496313783</v>
      </c>
      <c r="AE26" s="64"/>
      <c r="AF26" s="57"/>
      <c r="AG26" s="58">
        <v>0.47689239289640684</v>
      </c>
      <c r="AH26" s="64"/>
      <c r="AI26" s="63"/>
      <c r="AJ26" s="57"/>
      <c r="AK26" s="58">
        <v>0.58643983968807156</v>
      </c>
      <c r="AL26" s="64"/>
      <c r="AM26" s="57"/>
    </row>
    <row r="27" spans="6:39" hidden="1">
      <c r="F27" s="58">
        <v>12.898540445457911</v>
      </c>
      <c r="G27" s="57">
        <v>7</v>
      </c>
      <c r="I27" s="52">
        <v>127.65789473684208</v>
      </c>
      <c r="J27" s="58">
        <v>0.58527186353857441</v>
      </c>
      <c r="K27" s="59"/>
      <c r="L27" s="58">
        <v>0.52618091848022874</v>
      </c>
      <c r="M27" s="64"/>
      <c r="N27" s="57"/>
      <c r="O27" s="58">
        <v>0.53830551288409101</v>
      </c>
      <c r="P27" s="64"/>
      <c r="Q27" s="57"/>
      <c r="R27" s="58">
        <v>0.54257736122979239</v>
      </c>
      <c r="S27" s="64"/>
      <c r="T27" s="59"/>
      <c r="U27" s="58">
        <v>0.47754587063323695</v>
      </c>
      <c r="V27" s="64"/>
      <c r="W27" s="63"/>
      <c r="X27" s="57"/>
      <c r="Y27" s="58">
        <v>0.69690554711972841</v>
      </c>
      <c r="Z27" s="57"/>
      <c r="AA27" s="58">
        <v>0.60102160791044779</v>
      </c>
      <c r="AB27" s="64"/>
      <c r="AC27" s="57"/>
      <c r="AD27" s="58">
        <v>0.59363671648131355</v>
      </c>
      <c r="AE27" s="64"/>
      <c r="AF27" s="57"/>
      <c r="AG27" s="58">
        <v>0.46963339262634385</v>
      </c>
      <c r="AH27" s="64"/>
      <c r="AI27" s="63"/>
      <c r="AJ27" s="57"/>
      <c r="AK27" s="58">
        <v>0.55619181793402661</v>
      </c>
      <c r="AL27" s="64"/>
      <c r="AM27" s="57"/>
    </row>
    <row r="28" spans="6:39" hidden="1">
      <c r="F28" s="58">
        <v>105.55787782272091</v>
      </c>
      <c r="G28" s="57">
        <v>7</v>
      </c>
      <c r="I28" s="52">
        <v>145.89473684210523</v>
      </c>
      <c r="J28" s="58">
        <v>0.54215444687348502</v>
      </c>
      <c r="K28" s="59"/>
      <c r="L28" s="58">
        <v>0.50472218768575094</v>
      </c>
      <c r="M28" s="64"/>
      <c r="N28" s="57"/>
      <c r="O28" s="58">
        <v>0.51279434839931193</v>
      </c>
      <c r="P28" s="64"/>
      <c r="Q28" s="57"/>
      <c r="R28" s="58">
        <v>0.52062877698197796</v>
      </c>
      <c r="S28" s="64"/>
      <c r="T28" s="59"/>
      <c r="U28" s="58">
        <v>0.45464452107705244</v>
      </c>
      <c r="V28" s="64"/>
      <c r="W28" s="63"/>
      <c r="X28" s="57"/>
      <c r="Y28" s="58">
        <v>0.60821002049616979</v>
      </c>
      <c r="Z28" s="57"/>
      <c r="AA28" s="58">
        <v>0.55765034638133659</v>
      </c>
      <c r="AB28" s="64"/>
      <c r="AC28" s="57"/>
      <c r="AD28" s="58">
        <v>0.57327059862251817</v>
      </c>
      <c r="AE28" s="64"/>
      <c r="AF28" s="57"/>
      <c r="AG28" s="58">
        <v>0.46238447139163785</v>
      </c>
      <c r="AH28" s="64"/>
      <c r="AI28" s="63"/>
      <c r="AJ28" s="57"/>
      <c r="AK28" s="58">
        <v>0.52971572937790068</v>
      </c>
      <c r="AL28" s="64"/>
      <c r="AM28" s="57"/>
    </row>
    <row r="29" spans="6:39" hidden="1">
      <c r="F29" s="58">
        <v>56.772756457503419</v>
      </c>
      <c r="G29" s="57">
        <v>7</v>
      </c>
      <c r="I29" s="52">
        <v>164.13157894736838</v>
      </c>
      <c r="J29" s="58">
        <v>0.50221352259713048</v>
      </c>
      <c r="K29" s="59"/>
      <c r="L29" s="58">
        <v>0.48615091501624397</v>
      </c>
      <c r="M29" s="64"/>
      <c r="N29" s="57"/>
      <c r="O29" s="58">
        <v>0.48975232364705368</v>
      </c>
      <c r="P29" s="64"/>
      <c r="Q29" s="57"/>
      <c r="R29" s="58">
        <v>0.50111659977469936</v>
      </c>
      <c r="S29" s="64"/>
      <c r="T29" s="59"/>
      <c r="U29" s="58">
        <v>0.43476817008969348</v>
      </c>
      <c r="V29" s="64"/>
      <c r="W29" s="63"/>
      <c r="X29" s="57"/>
      <c r="Y29" s="58">
        <v>0.52133567899121835</v>
      </c>
      <c r="Z29" s="57"/>
      <c r="AA29" s="58">
        <v>0.51712867681843722</v>
      </c>
      <c r="AB29" s="64"/>
      <c r="AC29" s="57"/>
      <c r="AD29" s="58">
        <v>0.55265294778522744</v>
      </c>
      <c r="AE29" s="64"/>
      <c r="AF29" s="57"/>
      <c r="AG29" s="58">
        <v>0.4551480222469011</v>
      </c>
      <c r="AH29" s="64"/>
      <c r="AI29" s="63"/>
      <c r="AJ29" s="57"/>
      <c r="AK29" s="58">
        <v>0.50624868909169929</v>
      </c>
      <c r="AL29" s="64"/>
      <c r="AM29" s="57"/>
    </row>
    <row r="30" spans="6:39" hidden="1">
      <c r="F30" s="58">
        <v>0</v>
      </c>
      <c r="G30" s="57">
        <v>2</v>
      </c>
      <c r="I30" s="52">
        <v>182.36842105263153</v>
      </c>
      <c r="J30" s="58">
        <v>0.4652150761354451</v>
      </c>
      <c r="K30" s="59"/>
      <c r="L30" s="58">
        <v>0.46985581414090394</v>
      </c>
      <c r="M30" s="64"/>
      <c r="N30" s="57"/>
      <c r="O30" s="58">
        <v>0.46876348278015273</v>
      </c>
      <c r="P30" s="64"/>
      <c r="Q30" s="57"/>
      <c r="R30" s="58">
        <v>0.48362614507248525</v>
      </c>
      <c r="S30" s="64"/>
      <c r="T30" s="59"/>
      <c r="U30" s="58">
        <v>0.41730932720611946</v>
      </c>
      <c r="V30" s="64"/>
      <c r="W30" s="63"/>
      <c r="X30" s="57"/>
      <c r="Y30" s="58">
        <v>0.43973232104153731</v>
      </c>
      <c r="Z30" s="57"/>
      <c r="AA30" s="58">
        <v>0.47929182601336473</v>
      </c>
      <c r="AB30" s="64"/>
      <c r="AC30" s="57"/>
      <c r="AD30" s="58">
        <v>0.53185262796602717</v>
      </c>
      <c r="AE30" s="64"/>
      <c r="AF30" s="57"/>
      <c r="AG30" s="58">
        <v>0.4479264258421376</v>
      </c>
      <c r="AH30" s="64"/>
      <c r="AI30" s="63"/>
      <c r="AJ30" s="57"/>
      <c r="AK30" s="58">
        <v>0.48523593417141075</v>
      </c>
      <c r="AL30" s="64"/>
      <c r="AM30" s="57"/>
    </row>
    <row r="31" spans="6:39" hidden="1">
      <c r="F31" s="58">
        <v>0</v>
      </c>
      <c r="G31" s="57">
        <v>2</v>
      </c>
      <c r="I31" s="52">
        <v>200.60526315789468</v>
      </c>
      <c r="J31" s="58">
        <v>0.43094233294335554</v>
      </c>
      <c r="K31" s="59"/>
      <c r="L31" s="58">
        <v>0.45539448144477573</v>
      </c>
      <c r="M31" s="64"/>
      <c r="N31" s="57"/>
      <c r="O31" s="58">
        <v>0.44951276750885477</v>
      </c>
      <c r="P31" s="64"/>
      <c r="Q31" s="57"/>
      <c r="R31" s="58">
        <v>0.46783405184775573</v>
      </c>
      <c r="S31" s="64"/>
      <c r="T31" s="59"/>
      <c r="U31" s="58">
        <v>0.4018177388097337</v>
      </c>
      <c r="V31" s="64"/>
      <c r="W31" s="63"/>
      <c r="X31" s="57"/>
      <c r="Y31" s="58">
        <v>0.36560342828467357</v>
      </c>
      <c r="Z31" s="57"/>
      <c r="AA31" s="58">
        <v>0.44398283332512545</v>
      </c>
      <c r="AB31" s="64"/>
      <c r="AC31" s="57"/>
      <c r="AD31" s="58">
        <v>0.51094101745054454</v>
      </c>
      <c r="AE31" s="64"/>
      <c r="AF31" s="57"/>
      <c r="AG31" s="58">
        <v>0.44072204807362469</v>
      </c>
      <c r="AH31" s="64"/>
      <c r="AI31" s="63"/>
      <c r="AJ31" s="57"/>
      <c r="AK31" s="58">
        <v>0.46626125071946789</v>
      </c>
      <c r="AL31" s="64"/>
      <c r="AM31" s="57"/>
    </row>
    <row r="32" spans="6:39" hidden="1">
      <c r="F32" s="58">
        <v>31.461151780968066</v>
      </c>
      <c r="G32" s="57">
        <v>1</v>
      </c>
      <c r="I32" s="52">
        <v>218.84210526315783</v>
      </c>
      <c r="J32" s="58">
        <v>0.39919448841892852</v>
      </c>
      <c r="K32" s="59"/>
      <c r="L32" s="58">
        <v>0.44243747770574299</v>
      </c>
      <c r="M32" s="64"/>
      <c r="N32" s="57"/>
      <c r="O32" s="58">
        <v>0.43175489334086659</v>
      </c>
      <c r="P32" s="64"/>
      <c r="Q32" s="57"/>
      <c r="R32" s="58">
        <v>0.4534842999566131</v>
      </c>
      <c r="S32" s="64"/>
      <c r="T32" s="59"/>
      <c r="U32" s="58">
        <v>0.38795191998931644</v>
      </c>
      <c r="V32" s="64"/>
      <c r="W32" s="63"/>
      <c r="X32" s="57"/>
      <c r="Y32" s="58">
        <v>0.30008328011486846</v>
      </c>
      <c r="Z32" s="57"/>
      <c r="AA32" s="58">
        <v>0.41105230651024594</v>
      </c>
      <c r="AB32" s="64"/>
      <c r="AC32" s="57"/>
      <c r="AD32" s="58">
        <v>0.4899910426876159</v>
      </c>
      <c r="AE32" s="64"/>
      <c r="AF32" s="57"/>
      <c r="AG32" s="58">
        <v>0.43353723775921504</v>
      </c>
      <c r="AH32" s="64"/>
      <c r="AI32" s="63"/>
      <c r="AJ32" s="57"/>
      <c r="AK32" s="58">
        <v>0.44900434974396264</v>
      </c>
      <c r="AL32" s="64"/>
      <c r="AM32" s="57"/>
    </row>
    <row r="33" spans="6:39" hidden="1">
      <c r="F33" s="56"/>
      <c r="G33" s="57"/>
      <c r="I33" s="52">
        <v>237.07894736842098</v>
      </c>
      <c r="J33" s="58">
        <v>0.36978553138569548</v>
      </c>
      <c r="K33" s="59"/>
      <c r="L33" s="58">
        <v>0.43073356075116642</v>
      </c>
      <c r="M33" s="64"/>
      <c r="N33" s="57"/>
      <c r="O33" s="58">
        <v>0.4152945840182925</v>
      </c>
      <c r="P33" s="64"/>
      <c r="Q33" s="57"/>
      <c r="R33" s="58">
        <v>0.44037138490871741</v>
      </c>
      <c r="S33" s="64"/>
      <c r="T33" s="59"/>
      <c r="U33" s="58">
        <v>0.37544768729683065</v>
      </c>
      <c r="V33" s="64"/>
      <c r="W33" s="63"/>
      <c r="X33" s="57"/>
      <c r="Y33" s="58">
        <v>0.24347841427692724</v>
      </c>
      <c r="Z33" s="57"/>
      <c r="AA33" s="58">
        <v>0.38035817574925168</v>
      </c>
      <c r="AB33" s="64"/>
      <c r="AC33" s="57"/>
      <c r="AD33" s="58">
        <v>0.46907616667764424</v>
      </c>
      <c r="AE33" s="64"/>
      <c r="AF33" s="57"/>
      <c r="AG33" s="58">
        <v>0.42637432434186762</v>
      </c>
      <c r="AH33" s="64"/>
      <c r="AI33" s="63"/>
      <c r="AJ33" s="57"/>
      <c r="AK33" s="58">
        <v>0.43321351768509331</v>
      </c>
      <c r="AL33" s="64"/>
      <c r="AM33" s="57"/>
    </row>
    <row r="34" spans="6:39" hidden="1">
      <c r="F34" s="56"/>
      <c r="G34" s="57"/>
      <c r="I34" s="52">
        <v>255.31578947368413</v>
      </c>
      <c r="J34" s="58">
        <v>0.34254315424991566</v>
      </c>
      <c r="K34" s="59"/>
      <c r="L34" s="58">
        <v>0.42008720249060932</v>
      </c>
      <c r="M34" s="64"/>
      <c r="N34" s="57"/>
      <c r="O34" s="58">
        <v>0.39997347013887447</v>
      </c>
      <c r="P34" s="64"/>
      <c r="Q34" s="57"/>
      <c r="R34" s="58">
        <v>0.42832829951794871</v>
      </c>
      <c r="S34" s="64"/>
      <c r="T34" s="59"/>
      <c r="U34" s="58">
        <v>0.36409710219355063</v>
      </c>
      <c r="V34" s="64"/>
      <c r="W34" s="63"/>
      <c r="X34" s="57"/>
      <c r="Y34" s="58">
        <v>0.19551059482629227</v>
      </c>
      <c r="Z34" s="57"/>
      <c r="AA34" s="58">
        <v>0.35176544677148774</v>
      </c>
      <c r="AB34" s="64"/>
      <c r="AC34" s="57"/>
      <c r="AD34" s="58">
        <v>0.44826936148251822</v>
      </c>
      <c r="AE34" s="64"/>
      <c r="AF34" s="57"/>
      <c r="AG34" s="58">
        <v>0.41923561562514933</v>
      </c>
      <c r="AH34" s="64"/>
      <c r="AI34" s="63"/>
      <c r="AJ34" s="57"/>
      <c r="AK34" s="58">
        <v>0.41868738964632812</v>
      </c>
      <c r="AL34" s="64"/>
      <c r="AM34" s="57"/>
    </row>
    <row r="35" spans="6:39" hidden="1">
      <c r="F35" s="56"/>
      <c r="G35" s="57"/>
      <c r="I35" s="52">
        <v>273.55263157894728</v>
      </c>
      <c r="J35" s="58">
        <v>0.31730774344736962</v>
      </c>
      <c r="K35" s="59"/>
      <c r="L35" s="58">
        <v>0.4103435590871074</v>
      </c>
      <c r="M35" s="64"/>
      <c r="N35" s="57"/>
      <c r="O35" s="58">
        <v>0.38566109348883093</v>
      </c>
      <c r="P35" s="64"/>
      <c r="Q35" s="57"/>
      <c r="R35" s="58">
        <v>0.41721780126307517</v>
      </c>
      <c r="S35" s="63"/>
      <c r="T35" s="59"/>
      <c r="U35" s="58">
        <v>0.35373400175534475</v>
      </c>
      <c r="V35" s="63"/>
      <c r="W35" s="63"/>
      <c r="X35" s="57"/>
      <c r="Y35" s="58">
        <v>0.15552880828020813</v>
      </c>
      <c r="Z35" s="57"/>
      <c r="AA35" s="58">
        <v>0.32514595391691098</v>
      </c>
      <c r="AB35" s="63"/>
      <c r="AC35" s="57"/>
      <c r="AD35" s="58">
        <v>0.42764209526640001</v>
      </c>
      <c r="AE35" s="63"/>
      <c r="AF35" s="57"/>
      <c r="AG35" s="58">
        <v>0.41212339554437172</v>
      </c>
      <c r="AH35" s="63"/>
      <c r="AI35" s="63"/>
      <c r="AJ35" s="57"/>
      <c r="AK35" s="58">
        <v>0.40526241113204287</v>
      </c>
      <c r="AL35" s="63"/>
      <c r="AM35" s="57"/>
    </row>
    <row r="36" spans="6:39" hidden="1">
      <c r="F36" s="56"/>
      <c r="G36" s="57"/>
      <c r="I36" s="52">
        <v>291.78947368421046</v>
      </c>
      <c r="J36" s="58">
        <v>0.29393144426469442</v>
      </c>
      <c r="K36" s="59"/>
      <c r="L36" s="58">
        <v>0.40137813370969372</v>
      </c>
      <c r="M36" s="64"/>
      <c r="N36" s="57"/>
      <c r="O36" s="58">
        <v>0.37224854516846817</v>
      </c>
      <c r="P36" s="64"/>
      <c r="Q36" s="57"/>
      <c r="R36" s="58">
        <v>0.406925965292535</v>
      </c>
      <c r="S36" s="63"/>
      <c r="T36" s="59"/>
      <c r="U36" s="58">
        <v>0.34422382024791909</v>
      </c>
      <c r="V36" s="63"/>
      <c r="W36" s="63"/>
      <c r="X36" s="57"/>
      <c r="Y36" s="58">
        <v>0.12267775853836545</v>
      </c>
      <c r="Z36" s="57"/>
      <c r="AA36" s="58">
        <v>0.30037811391131514</v>
      </c>
      <c r="AB36" s="63"/>
      <c r="AC36" s="57"/>
      <c r="AD36" s="58">
        <v>0.40726336354266734</v>
      </c>
      <c r="AE36" s="63"/>
      <c r="AF36" s="57"/>
      <c r="AG36" s="58">
        <v>0.40503992197695005</v>
      </c>
      <c r="AH36" s="63"/>
      <c r="AI36" s="63"/>
      <c r="AJ36" s="57"/>
      <c r="AK36" s="58">
        <v>0.39280397756458951</v>
      </c>
      <c r="AL36" s="63"/>
      <c r="AM36" s="57"/>
    </row>
    <row r="37" spans="6:39" hidden="1">
      <c r="F37" s="56"/>
      <c r="G37" s="57"/>
      <c r="I37" s="52">
        <v>310.02631578947364</v>
      </c>
      <c r="J37" s="58">
        <v>0.27227729455603167</v>
      </c>
      <c r="K37" s="59"/>
      <c r="L37" s="58">
        <v>0.39308948937495569</v>
      </c>
      <c r="M37" s="64"/>
      <c r="N37" s="57"/>
      <c r="O37" s="58">
        <v>0.35964385178478786</v>
      </c>
      <c r="P37" s="64"/>
      <c r="Q37" s="57"/>
      <c r="R37" s="58">
        <v>0.39735735431724173</v>
      </c>
      <c r="S37" s="63"/>
      <c r="T37" s="59"/>
      <c r="U37" s="58">
        <v>0.33545627882523954</v>
      </c>
      <c r="V37" s="63"/>
      <c r="W37" s="63"/>
      <c r="X37" s="57"/>
      <c r="Y37" s="58">
        <v>9.6022059198366039E-2</v>
      </c>
      <c r="Z37" s="57"/>
      <c r="AA37" s="58">
        <v>0.27734668107069982</v>
      </c>
      <c r="AB37" s="63"/>
      <c r="AC37" s="57"/>
      <c r="AD37" s="58">
        <v>0.38719879208859698</v>
      </c>
      <c r="AE37" s="63"/>
      <c r="AF37" s="57"/>
      <c r="AG37" s="58">
        <v>0.3979874245954762</v>
      </c>
      <c r="AH37" s="63"/>
      <c r="AI37" s="63"/>
      <c r="AJ37" s="57"/>
      <c r="AK37" s="58">
        <v>0.38120002603790804</v>
      </c>
      <c r="AL37" s="63"/>
      <c r="AM37" s="57"/>
    </row>
    <row r="38" spans="6:39" hidden="1">
      <c r="F38" s="56"/>
      <c r="G38" s="57"/>
      <c r="I38" s="52">
        <v>328.26315789473682</v>
      </c>
      <c r="J38" s="58">
        <v>0.25221842227941837</v>
      </c>
      <c r="K38" s="59"/>
      <c r="L38" s="58">
        <v>0.38539399992747392</v>
      </c>
      <c r="M38" s="64"/>
      <c r="N38" s="57"/>
      <c r="O38" s="58">
        <v>0.34776855608734769</v>
      </c>
      <c r="P38" s="64"/>
      <c r="Q38" s="57"/>
      <c r="R38" s="58">
        <v>0.38843135051977873</v>
      </c>
      <c r="S38" s="63"/>
      <c r="T38" s="59"/>
      <c r="U38" s="58">
        <v>0.327340037008923</v>
      </c>
      <c r="V38" s="63"/>
      <c r="W38" s="63"/>
      <c r="X38" s="57"/>
      <c r="Y38" s="58">
        <v>7.4631306278181625E-2</v>
      </c>
      <c r="Z38" s="57"/>
      <c r="AA38" s="58">
        <v>0.25594250459131235</v>
      </c>
      <c r="AB38" s="63"/>
      <c r="AC38" s="57"/>
      <c r="AD38" s="58">
        <v>0.36750983546389815</v>
      </c>
      <c r="AE38" s="63"/>
      <c r="AF38" s="57"/>
      <c r="AG38" s="58">
        <v>0.39096810276690497</v>
      </c>
      <c r="AH38" s="63"/>
      <c r="AI38" s="63"/>
      <c r="AJ38" s="57"/>
      <c r="AK38" s="58">
        <v>0.37035630623868576</v>
      </c>
      <c r="AL38" s="63"/>
      <c r="AM38" s="57"/>
    </row>
    <row r="39" spans="6:39" hidden="1">
      <c r="F39" s="79"/>
      <c r="G39" s="66"/>
      <c r="I39" s="53">
        <v>346.5</v>
      </c>
      <c r="J39" s="60">
        <v>0.23363730215127401</v>
      </c>
      <c r="K39" s="61"/>
      <c r="L39" s="60">
        <v>0.37822199644034588</v>
      </c>
      <c r="M39" s="65"/>
      <c r="N39" s="66"/>
      <c r="O39" s="60">
        <v>0.3365551345461118</v>
      </c>
      <c r="P39" s="65"/>
      <c r="Q39" s="66"/>
      <c r="R39" s="60">
        <v>0.38007933497192736</v>
      </c>
      <c r="S39" s="70"/>
      <c r="T39" s="61"/>
      <c r="U39" s="60">
        <v>0.31979871398145465</v>
      </c>
      <c r="V39" s="70"/>
      <c r="W39" s="70"/>
      <c r="X39" s="66"/>
      <c r="Y39" s="60">
        <v>5.7633548496836051E-2</v>
      </c>
      <c r="Z39" s="66"/>
      <c r="AA39" s="60">
        <v>0.23606228852446806</v>
      </c>
      <c r="AB39" s="70"/>
      <c r="AC39" s="66"/>
      <c r="AD39" s="60">
        <v>0.3482530904936233</v>
      </c>
      <c r="AE39" s="70"/>
      <c r="AF39" s="66"/>
      <c r="AG39" s="60">
        <v>0.38398412350114342</v>
      </c>
      <c r="AH39" s="70"/>
      <c r="AI39" s="70"/>
      <c r="AJ39" s="66"/>
      <c r="AK39" s="60">
        <v>0.36019282817572296</v>
      </c>
      <c r="AL39" s="70"/>
      <c r="AM39" s="66"/>
    </row>
    <row r="42" spans="6:39">
      <c r="T42" s="9"/>
    </row>
  </sheetData>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87A2D-779B-4C3D-8F88-25FB50E9D572}">
  <dimension ref="B2:T39"/>
  <sheetViews>
    <sheetView showGridLines="0" workbookViewId="0">
      <selection activeCell="M5" sqref="M5"/>
    </sheetView>
  </sheetViews>
  <sheetFormatPr defaultRowHeight="14.5"/>
  <cols>
    <col min="1" max="1" width="4.453125" customWidth="1"/>
    <col min="2" max="2" width="13.7265625" customWidth="1"/>
    <col min="3" max="3" width="11.453125" customWidth="1"/>
    <col min="4" max="4" width="10.453125" customWidth="1"/>
    <col min="5" max="6" width="14.54296875" customWidth="1"/>
    <col min="8" max="8" width="4.7265625" customWidth="1"/>
    <col min="9" max="9" width="4.81640625" customWidth="1"/>
    <col min="10" max="10" width="22.1796875" customWidth="1"/>
    <col min="11" max="11" width="11.453125" customWidth="1"/>
    <col min="12" max="12" width="4.7265625" customWidth="1"/>
    <col min="13" max="13" width="21.453125" customWidth="1"/>
    <col min="14" max="14" width="12" bestFit="1" customWidth="1"/>
  </cols>
  <sheetData>
    <row r="2" spans="2:16">
      <c r="B2" t="s">
        <v>196</v>
      </c>
    </row>
    <row r="3" spans="2:16" ht="29">
      <c r="B3" s="86" t="s">
        <v>63</v>
      </c>
      <c r="C3" s="86" t="s">
        <v>64</v>
      </c>
      <c r="D3" s="86" t="s">
        <v>65</v>
      </c>
      <c r="E3" s="83"/>
      <c r="F3" s="88" t="s">
        <v>86</v>
      </c>
      <c r="G3" s="89" t="s">
        <v>85</v>
      </c>
      <c r="J3" s="176" t="s">
        <v>8</v>
      </c>
      <c r="K3" s="177"/>
      <c r="M3" s="174" t="s">
        <v>54</v>
      </c>
      <c r="N3" s="175"/>
    </row>
    <row r="4" spans="2:16">
      <c r="B4" s="87">
        <v>37709</v>
      </c>
      <c r="C4" s="17">
        <v>10.173</v>
      </c>
      <c r="D4" s="17">
        <v>10.073</v>
      </c>
      <c r="F4" s="90" cm="1">
        <f t="array" ref="F4:F9">DIFF(RT_data[Calibration Date])</f>
        <v>104</v>
      </c>
      <c r="G4" s="25" cm="1">
        <f t="array" ref="G4:G9">_xlfn.DROP(RT_data[As-Found Value],1)-_xlfn.DROP(RT_data[As-Left Value],-1)</f>
        <v>0.25099999999999945</v>
      </c>
      <c r="J4" s="103" t="s">
        <v>66</v>
      </c>
      <c r="K4" s="33">
        <v>2</v>
      </c>
      <c r="M4" s="118" t="s">
        <v>43</v>
      </c>
      <c r="N4" s="102" cm="1">
        <f t="array" ref="N4">BISECT(_xlfn.LAMBDA(_xlpm.x, RELIABILITY(_xlpm.x, RT_LL,RT_UL,RT_Initial,RT_Uinitial,RT_degf,_xlfn.ANCHORARRAY(RT_fitresult))-RT_target), 0, RT_searchmax, 0.0005, 40)</f>
        <v>171.268310546875</v>
      </c>
    </row>
    <row r="5" spans="2:16">
      <c r="B5" s="87">
        <v>37813</v>
      </c>
      <c r="C5" s="17">
        <v>10.324</v>
      </c>
      <c r="D5" s="17">
        <v>10.048</v>
      </c>
      <c r="F5" s="90">
        <v>86</v>
      </c>
      <c r="G5" s="25">
        <v>0.10999999999999943</v>
      </c>
      <c r="J5" s="103" t="s">
        <v>67</v>
      </c>
      <c r="K5" s="33">
        <v>10.029999999999999</v>
      </c>
      <c r="M5" s="27" t="s">
        <v>74</v>
      </c>
      <c r="N5" s="25" cm="1">
        <f t="array" ref="N5">UCONF(RT_interval,_xlfn.ANCHORARRAY(RT_fitresult))</f>
        <v>4.888169651563129E-2</v>
      </c>
    </row>
    <row r="6" spans="2:16">
      <c r="B6" s="87">
        <v>37899</v>
      </c>
      <c r="C6" s="17">
        <v>10.157999999999999</v>
      </c>
      <c r="D6" s="17">
        <v>9.9930000000000003</v>
      </c>
      <c r="F6" s="90">
        <v>135</v>
      </c>
      <c r="G6" s="25">
        <v>0.29899999999999949</v>
      </c>
      <c r="J6" s="103" t="s">
        <v>68</v>
      </c>
      <c r="K6" s="33">
        <v>0.28000000000000003</v>
      </c>
      <c r="M6" s="27" t="s">
        <v>75</v>
      </c>
      <c r="N6" s="25" cm="1">
        <f t="array" ref="N6">YVAL(RT_interval,_xlfn.ANCHORARRAY(RT_fitresult))+RT_Initial</f>
        <v>10.547929569166296</v>
      </c>
    </row>
    <row r="7" spans="2:16">
      <c r="B7" s="87">
        <v>38034</v>
      </c>
      <c r="C7" s="17">
        <v>10.292</v>
      </c>
      <c r="D7" s="17">
        <v>10.125999999999999</v>
      </c>
      <c r="F7" s="90">
        <v>70</v>
      </c>
      <c r="G7" s="25">
        <v>0.10000000000000142</v>
      </c>
      <c r="J7" s="103" t="s">
        <v>90</v>
      </c>
      <c r="K7" s="33">
        <v>3.45</v>
      </c>
      <c r="M7" s="27" t="s">
        <v>76</v>
      </c>
      <c r="N7" s="25">
        <f>SQRT(RT_fituncert^2+RT_Uinitial^2)</f>
        <v>0.28423479775398064</v>
      </c>
    </row>
    <row r="8" spans="2:16">
      <c r="B8" s="87">
        <v>38104</v>
      </c>
      <c r="C8" s="17">
        <v>10.226000000000001</v>
      </c>
      <c r="D8" s="17">
        <v>10.023999999999999</v>
      </c>
      <c r="F8" s="90">
        <v>173</v>
      </c>
      <c r="G8" s="25">
        <v>0.61500000000000021</v>
      </c>
      <c r="J8" s="103" t="s">
        <v>11</v>
      </c>
      <c r="K8" s="93">
        <v>0.9</v>
      </c>
      <c r="M8" s="119" t="s">
        <v>77</v>
      </c>
      <c r="N8" s="96">
        <f>RT_predictedu^4/(RT_fituncert^4/INDEX(_xlfn.ANCHORARRAY(RT_fitresult),2,2)+RT_Uinitial^4/RT_degf)</f>
        <v>3.6605653012091324</v>
      </c>
    </row>
    <row r="9" spans="2:16">
      <c r="B9" s="87">
        <v>38277</v>
      </c>
      <c r="C9" s="17">
        <v>10.638999999999999</v>
      </c>
      <c r="D9" s="17">
        <v>10.208</v>
      </c>
      <c r="F9" s="90">
        <v>167</v>
      </c>
      <c r="G9" s="25">
        <v>0.40300000000000047</v>
      </c>
      <c r="J9" s="103" t="s">
        <v>91</v>
      </c>
      <c r="K9" s="33">
        <v>9</v>
      </c>
    </row>
    <row r="10" spans="2:16">
      <c r="B10" s="87">
        <v>38444</v>
      </c>
      <c r="C10" s="17">
        <v>10.611000000000001</v>
      </c>
      <c r="D10" s="17">
        <v>10.451000000000001</v>
      </c>
      <c r="F10" s="91"/>
      <c r="G10" s="30"/>
      <c r="J10" s="104" t="s">
        <v>92</v>
      </c>
      <c r="K10" s="95">
        <v>11</v>
      </c>
      <c r="M10" s="97" t="s">
        <v>71</v>
      </c>
      <c r="N10" s="98" cm="1">
        <f t="array" ref="N10:O13">V1FIT(_xlfn.ANCHORARRAY(RT_time),_xlfn.ANCHORARRAY(RT_delta),RT_FitOrder)</f>
        <v>1.5740675265266623E-4</v>
      </c>
      <c r="O10" s="98">
        <v>1.6737925059123567E-5</v>
      </c>
      <c r="P10" s="99"/>
    </row>
    <row r="11" spans="2:16">
      <c r="M11" s="18" t="s">
        <v>72</v>
      </c>
      <c r="N11" s="100">
        <v>7.0828656926355496E-2</v>
      </c>
      <c r="O11" s="100">
        <v>4</v>
      </c>
      <c r="P11" s="101"/>
    </row>
    <row r="12" spans="2:16">
      <c r="J12" s="176" t="s">
        <v>93</v>
      </c>
      <c r="K12" s="177"/>
      <c r="M12" s="109" t="s">
        <v>73</v>
      </c>
      <c r="N12" s="105">
        <v>1.0100505922815209E-6</v>
      </c>
      <c r="O12" s="105">
        <v>-6.6068289181156153E-9</v>
      </c>
      <c r="P12" s="106"/>
    </row>
    <row r="13" spans="2:16">
      <c r="J13" s="103" t="s">
        <v>88</v>
      </c>
      <c r="K13" s="33">
        <f>MAX(_xlfn.ANCHORARRAY(RT_time))*10</f>
        <v>1730</v>
      </c>
      <c r="M13" s="18"/>
      <c r="N13" s="105">
        <v>-6.6068289181156145E-9</v>
      </c>
      <c r="O13" s="105">
        <v>4.5494722646190491E-11</v>
      </c>
      <c r="P13" s="106"/>
    </row>
    <row r="14" spans="2:16">
      <c r="J14" s="103" t="s">
        <v>87</v>
      </c>
      <c r="K14" s="33">
        <f>RT_searchmax/4</f>
        <v>432.5</v>
      </c>
      <c r="M14" s="29"/>
      <c r="N14" s="107"/>
      <c r="O14" s="107"/>
      <c r="P14" s="108"/>
    </row>
    <row r="15" spans="2:16">
      <c r="J15" s="104" t="s">
        <v>89</v>
      </c>
      <c r="K15" s="95">
        <f>MAX(_xlfn.ANCHORARRAY(RT_time))*1.1</f>
        <v>190.3</v>
      </c>
    </row>
    <row r="19" spans="10:20" hidden="1">
      <c r="J19" s="84" t="s">
        <v>24</v>
      </c>
      <c r="K19" s="84" t="s">
        <v>25</v>
      </c>
      <c r="L19" s="84"/>
      <c r="M19" s="84" t="s">
        <v>80</v>
      </c>
      <c r="N19" s="84"/>
      <c r="O19" s="84"/>
      <c r="P19" s="84" t="s">
        <v>24</v>
      </c>
      <c r="Q19" s="84" t="s">
        <v>82</v>
      </c>
      <c r="R19" s="84" t="s">
        <v>78</v>
      </c>
      <c r="S19" s="84" t="s">
        <v>83</v>
      </c>
      <c r="T19" s="84" t="s">
        <v>84</v>
      </c>
    </row>
    <row r="20" spans="10:20" hidden="1">
      <c r="J20" s="84" cm="1">
        <f t="array" ref="J20:J39">LINSPACE(0,RT_plotmax,20)</f>
        <v>0</v>
      </c>
      <c r="K20" s="84" cm="1">
        <f t="array" ref="K20">RELIABILITY(J20,RT_LL,RT_UL,RT_Initial,RT_Uinitial,RT_degf,_xlfn.ANCHORARRAY(RT_fitresult))</f>
        <v>0.97000594586626565</v>
      </c>
      <c r="L20" s="84"/>
      <c r="M20" s="84">
        <v>0</v>
      </c>
      <c r="N20" s="84">
        <f>RT_target</f>
        <v>0.9</v>
      </c>
      <c r="O20" s="84"/>
      <c r="P20" s="84" cm="1">
        <f t="array" ref="P20:P39">LINSPACE(0,RT_plotmaxdata,20)</f>
        <v>0</v>
      </c>
      <c r="Q20" s="84" cm="1">
        <f t="array" ref="Q20">YVAL(P20,_xlfn.ANCHORARRAY(RT_fitresult))</f>
        <v>0</v>
      </c>
      <c r="R20" s="84" cm="1">
        <f t="array" ref="R20">UCONF(P20,_xlfn.ANCHORARRAY(RT_fitresult))</f>
        <v>0</v>
      </c>
      <c r="S20" s="84">
        <f>Q20-R20</f>
        <v>0</v>
      </c>
      <c r="T20" s="84">
        <f>Q20+R20</f>
        <v>0</v>
      </c>
    </row>
    <row r="21" spans="10:20" hidden="1">
      <c r="J21" s="84">
        <v>22.763157894736842</v>
      </c>
      <c r="K21" s="84" cm="1">
        <f t="array" ref="K21">RELIABILITY(J21,RT_LL,RT_UL,RT_Initial,RT_Uinitial,RT_degf,_xlfn.ANCHORARRAY(RT_fitresult))</f>
        <v>0.97014056817713179</v>
      </c>
      <c r="L21" s="84"/>
      <c r="M21" s="84">
        <f>RT_plotmax</f>
        <v>432.5</v>
      </c>
      <c r="N21" s="84">
        <f>RT_target</f>
        <v>0.9</v>
      </c>
      <c r="O21" s="84"/>
      <c r="P21" s="84">
        <v>10.015789473684212</v>
      </c>
      <c r="Q21" s="84" cm="1">
        <f t="array" ref="Q21">YVAL(P21,_xlfn.ANCHORARRAY(RT_fitresult))</f>
        <v>3.2556352356526361E-3</v>
      </c>
      <c r="R21" s="84" cm="1">
        <f t="array" ref="R21">UCONF(P21,_xlfn.ANCHORARRAY(RT_fitresult))</f>
        <v>9.4077496804031834E-3</v>
      </c>
      <c r="S21" s="84">
        <f t="shared" ref="S21:S39" si="0">Q21-R21</f>
        <v>-6.1521144447505473E-3</v>
      </c>
      <c r="T21" s="84">
        <f t="shared" ref="T21:T39" si="1">Q21+R21</f>
        <v>1.2663384916055819E-2</v>
      </c>
    </row>
    <row r="22" spans="10:20" hidden="1">
      <c r="J22" s="84">
        <v>45.526315789473685</v>
      </c>
      <c r="K22" s="84" cm="1">
        <f t="array" ref="K22">RELIABILITY(J22,RT_LL,RT_UL,RT_Initial,RT_Uinitial,RT_degf,_xlfn.ANCHORARRAY(RT_fitresult))</f>
        <v>0.97007604485714671</v>
      </c>
      <c r="L22" s="84"/>
      <c r="M22" s="84"/>
      <c r="N22" s="84"/>
      <c r="O22" s="84"/>
      <c r="P22" s="84">
        <v>20.031578947368423</v>
      </c>
      <c r="Q22" s="84" cm="1">
        <f t="array" ref="Q22">YVAL(P22,_xlfn.ANCHORARRAY(RT_fitresult))</f>
        <v>9.8694351499997671E-3</v>
      </c>
      <c r="R22" s="84" cm="1">
        <f t="array" ref="R22">UCONF(P22,_xlfn.ANCHORARRAY(RT_fitresult))</f>
        <v>1.7504615219041651E-2</v>
      </c>
      <c r="S22" s="84">
        <f t="shared" si="0"/>
        <v>-7.6351800690418834E-3</v>
      </c>
      <c r="T22" s="84">
        <f t="shared" si="1"/>
        <v>2.7374050369041419E-2</v>
      </c>
    </row>
    <row r="23" spans="10:20" hidden="1">
      <c r="J23" s="84">
        <v>68.28947368421052</v>
      </c>
      <c r="K23" s="84" cm="1">
        <f t="array" ref="K23">RELIABILITY(J23,RT_LL,RT_UL,RT_Initial,RT_Uinitial,RT_degf,_xlfn.ANCHORARRAY(RT_fitresult))</f>
        <v>0.9689801356485247</v>
      </c>
      <c r="L23" s="84"/>
      <c r="M23" s="84" t="s">
        <v>81</v>
      </c>
      <c r="N23" s="84"/>
      <c r="O23" s="84"/>
      <c r="P23" s="84">
        <v>30.047368421052635</v>
      </c>
      <c r="Q23" s="84" cm="1">
        <f t="array" ref="Q23">YVAL(P23,_xlfn.ANCHORARRAY(RT_fitresult))</f>
        <v>1.9841399743041395E-2</v>
      </c>
      <c r="R23" s="84" cm="1">
        <f t="array" ref="R23">UCONF(P23,_xlfn.ANCHORARRAY(RT_fitresult))</f>
        <v>2.4301051405754032E-2</v>
      </c>
      <c r="S23" s="84">
        <f t="shared" si="0"/>
        <v>-4.4596516627126367E-3</v>
      </c>
      <c r="T23" s="84">
        <f t="shared" si="1"/>
        <v>4.4142451148795427E-2</v>
      </c>
    </row>
    <row r="24" spans="10:20" hidden="1">
      <c r="J24" s="84">
        <v>91.05263157894737</v>
      </c>
      <c r="K24" s="84" cm="1">
        <f t="array" ref="K24">RELIABILITY(J24,RT_LL,RT_UL,RT_Initial,RT_Uinitial,RT_degf,_xlfn.ANCHORARRAY(RT_fitresult))</f>
        <v>0.96586447983547408</v>
      </c>
      <c r="L24" s="84"/>
      <c r="M24" s="85">
        <f>RT_interval</f>
        <v>171.268310546875</v>
      </c>
      <c r="N24" s="84">
        <v>0</v>
      </c>
      <c r="O24" s="84"/>
      <c r="P24" s="84">
        <v>40.063157894736847</v>
      </c>
      <c r="Q24" s="84" cm="1">
        <f t="array" ref="Q24">YVAL(P24,_xlfn.ANCHORARRAY(RT_fitresult))</f>
        <v>3.3171529014777511E-2</v>
      </c>
      <c r="R24" s="84" cm="1">
        <f t="array" ref="R24">UCONF(P24,_xlfn.ANCHORARRAY(RT_fitresult))</f>
        <v>2.9811171520971194E-2</v>
      </c>
      <c r="S24" s="84">
        <f t="shared" si="0"/>
        <v>3.3603574938063166E-3</v>
      </c>
      <c r="T24" s="84">
        <f t="shared" si="1"/>
        <v>6.2982700535748698E-2</v>
      </c>
    </row>
    <row r="25" spans="10:20" hidden="1">
      <c r="J25" s="84">
        <v>113.81578947368422</v>
      </c>
      <c r="K25" s="84" cm="1">
        <f t="array" ref="K25">RELIABILITY(J25,RT_LL,RT_UL,RT_Initial,RT_Uinitial,RT_degf,_xlfn.ANCHORARRAY(RT_fitresult))</f>
        <v>0.95926715490880876</v>
      </c>
      <c r="L25" s="84"/>
      <c r="M25" s="85">
        <f>RT_interval</f>
        <v>171.268310546875</v>
      </c>
      <c r="N25" s="84">
        <v>1.1000000000000001</v>
      </c>
      <c r="O25" s="84"/>
      <c r="P25" s="84">
        <v>50.078947368421055</v>
      </c>
      <c r="Q25" s="84" cm="1">
        <f t="array" ref="Q25">YVAL(P25,_xlfn.ANCHORARRAY(RT_fitresult))</f>
        <v>4.985982296520812E-2</v>
      </c>
      <c r="R25" s="84" cm="1">
        <f t="array" ref="R25">UCONF(P25,_xlfn.ANCHORARRAY(RT_fitresult))</f>
        <v>3.4054449231109812E-2</v>
      </c>
      <c r="S25" s="84">
        <f t="shared" si="0"/>
        <v>1.5805373734098307E-2</v>
      </c>
      <c r="T25" s="84">
        <f t="shared" si="1"/>
        <v>8.3914272196317932E-2</v>
      </c>
    </row>
    <row r="26" spans="10:20" hidden="1">
      <c r="J26" s="84">
        <v>136.57894736842107</v>
      </c>
      <c r="K26" s="84" cm="1">
        <f t="array" ref="K26">RELIABILITY(J26,RT_LL,RT_UL,RT_Initial,RT_Uinitial,RT_degf,_xlfn.ANCHORARRAY(RT_fitresult))</f>
        <v>0.94651325394096153</v>
      </c>
      <c r="L26" s="84"/>
      <c r="M26" s="84"/>
      <c r="N26" s="84"/>
      <c r="O26" s="84"/>
      <c r="P26" s="84">
        <v>60.094736842105263</v>
      </c>
      <c r="Q26" s="84" cm="1">
        <f t="array" ref="Q26">YVAL(P26,_xlfn.ANCHORARRAY(RT_fitresult))</f>
        <v>6.9906281594333222E-2</v>
      </c>
      <c r="R26" s="84" cm="1">
        <f t="array" ref="R26">UCONF(P26,_xlfn.ANCHORARRAY(RT_fitresult))</f>
        <v>3.7058427733919583E-2</v>
      </c>
      <c r="S26" s="84">
        <f t="shared" si="0"/>
        <v>3.2847853860413639E-2</v>
      </c>
      <c r="T26" s="84">
        <f t="shared" si="1"/>
        <v>0.1069647093282528</v>
      </c>
    </row>
    <row r="27" spans="10:20" hidden="1">
      <c r="J27" s="84">
        <v>159.34210526315792</v>
      </c>
      <c r="K27" s="84" cm="1">
        <f t="array" ref="K27">RELIABILITY(J27,RT_LL,RT_UL,RT_Initial,RT_Uinitial,RT_degf,_xlfn.ANCHORARRAY(RT_fitresult))</f>
        <v>0.92172075348801519</v>
      </c>
      <c r="L27" s="84"/>
      <c r="M27" s="84"/>
      <c r="N27" s="84"/>
      <c r="O27" s="84"/>
      <c r="P27" s="84">
        <v>70.110526315789471</v>
      </c>
      <c r="Q27" s="84" cm="1">
        <f t="array" ref="Q27">YVAL(P27,_xlfn.ANCHORARRAY(RT_fitresult))</f>
        <v>9.3310904902152811E-2</v>
      </c>
      <c r="R27" s="84" cm="1">
        <f t="array" ref="R27">UCONF(P27,_xlfn.ANCHORARRAY(RT_fitresult))</f>
        <v>3.886316684956579E-2</v>
      </c>
      <c r="S27" s="84">
        <f t="shared" si="0"/>
        <v>5.4447738052587021E-2</v>
      </c>
      <c r="T27" s="84">
        <f t="shared" si="1"/>
        <v>0.13217407175171861</v>
      </c>
    </row>
    <row r="28" spans="10:20" hidden="1">
      <c r="J28" s="84">
        <v>182.10526315789477</v>
      </c>
      <c r="K28" s="84" cm="1">
        <f t="array" ref="K28">RELIABILITY(J28,RT_LL,RT_UL,RT_Initial,RT_Uinitial,RT_degf,_xlfn.ANCHORARRAY(RT_fitresult))</f>
        <v>0.87068320687767131</v>
      </c>
      <c r="L28" s="84"/>
      <c r="M28" s="84"/>
      <c r="N28" s="84"/>
      <c r="O28" s="84"/>
      <c r="P28" s="84">
        <v>80.126315789473679</v>
      </c>
      <c r="Q28" s="84" cm="1">
        <f t="array" ref="Q28">YVAL(P28,_xlfn.ANCHORARRAY(RT_fitresult))</f>
        <v>0.1200736928886669</v>
      </c>
      <c r="R28" s="84" cm="1">
        <f t="array" ref="R28">UCONF(P28,_xlfn.ANCHORARRAY(RT_fitresult))</f>
        <v>3.9528780822183009E-2</v>
      </c>
      <c r="S28" s="84">
        <f t="shared" si="0"/>
        <v>8.0544912066483898E-2</v>
      </c>
      <c r="T28" s="84">
        <f t="shared" si="1"/>
        <v>0.1596024737108499</v>
      </c>
    </row>
    <row r="29" spans="10:20" hidden="1">
      <c r="J29" s="84">
        <v>204.86842105263162</v>
      </c>
      <c r="K29" s="84" cm="1">
        <f t="array" ref="K29">RELIABILITY(J29,RT_LL,RT_UL,RT_Initial,RT_Uinitial,RT_degf,_xlfn.ANCHORARRAY(RT_fitresult))</f>
        <v>0.76422955503782342</v>
      </c>
      <c r="L29" s="84"/>
      <c r="M29" s="84"/>
      <c r="N29" s="84"/>
      <c r="O29" s="84"/>
      <c r="P29" s="84">
        <v>90.142105263157887</v>
      </c>
      <c r="Q29" s="84" cm="1">
        <f t="array" ref="Q29">YVAL(P29,_xlfn.ANCHORARRAY(RT_fitresult))</f>
        <v>0.15019464555387546</v>
      </c>
      <c r="R29" s="84" cm="1">
        <f t="array" ref="R29">UCONF(P29,_xlfn.ANCHORARRAY(RT_fitresult))</f>
        <v>3.9148617307026415E-2</v>
      </c>
      <c r="S29" s="84">
        <f t="shared" si="0"/>
        <v>0.11104602824684905</v>
      </c>
      <c r="T29" s="84">
        <f t="shared" si="1"/>
        <v>0.18934326286090186</v>
      </c>
    </row>
    <row r="30" spans="10:20" hidden="1">
      <c r="J30" s="84">
        <v>227.63157894736847</v>
      </c>
      <c r="K30" s="84" cm="1">
        <f t="array" ref="K30">RELIABILITY(J30,RT_LL,RT_UL,RT_Initial,RT_Uinitial,RT_degf,_xlfn.ANCHORARRAY(RT_fitresult))</f>
        <v>0.58001394887613111</v>
      </c>
      <c r="L30" s="84"/>
      <c r="M30" s="84"/>
      <c r="N30" s="84"/>
      <c r="O30" s="84"/>
      <c r="P30" s="84">
        <v>100.1578947368421</v>
      </c>
      <c r="Q30" s="84" cm="1">
        <f t="array" ref="Q30">YVAL(P30,_xlfn.ANCHORARRAY(RT_fitresult))</f>
        <v>0.18367376289777854</v>
      </c>
      <c r="R30" s="84" cm="1">
        <f t="array" ref="R30">UCONF(P30,_xlfn.ANCHORARRAY(RT_fitresult))</f>
        <v>3.7872861128169837E-2</v>
      </c>
      <c r="S30" s="84">
        <f t="shared" si="0"/>
        <v>0.14580090176960869</v>
      </c>
      <c r="T30" s="84">
        <f t="shared" si="1"/>
        <v>0.22154662402594838</v>
      </c>
    </row>
    <row r="31" spans="10:20" hidden="1">
      <c r="J31" s="84">
        <v>250.39473684210532</v>
      </c>
      <c r="K31" s="84" cm="1">
        <f t="array" ref="K31">RELIABILITY(J31,RT_LL,RT_UL,RT_Initial,RT_Uinitial,RT_degf,_xlfn.ANCHORARRAY(RT_fitresult))</f>
        <v>0.3674831684963995</v>
      </c>
      <c r="L31" s="84"/>
      <c r="M31" s="84"/>
      <c r="N31" s="84"/>
      <c r="O31" s="84"/>
      <c r="P31" s="84">
        <v>110.1736842105263</v>
      </c>
      <c r="Q31" s="84" cm="1">
        <f t="array" ref="Q31">YVAL(P31,_xlfn.ANCHORARRAY(RT_fitresult))</f>
        <v>0.2205110449203761</v>
      </c>
      <c r="R31" s="84" cm="1">
        <f t="array" ref="R31">UCONF(P31,_xlfn.ANCHORARRAY(RT_fitresult))</f>
        <v>3.5950927536770615E-2</v>
      </c>
      <c r="S31" s="84">
        <f t="shared" si="0"/>
        <v>0.18456011738360548</v>
      </c>
      <c r="T31" s="84">
        <f t="shared" si="1"/>
        <v>0.25646197245714669</v>
      </c>
    </row>
    <row r="32" spans="10:20" hidden="1">
      <c r="J32" s="84">
        <v>273.15789473684214</v>
      </c>
      <c r="K32" s="84" cm="1">
        <f t="array" ref="K32">RELIABILITY(J32,RT_LL,RT_UL,RT_Initial,RT_Uinitial,RT_degf,_xlfn.ANCHORARRAY(RT_fitresult))</f>
        <v>0.20680049327765243</v>
      </c>
      <c r="L32" s="84"/>
      <c r="M32" s="84"/>
      <c r="N32" s="84"/>
      <c r="O32" s="84"/>
      <c r="P32" s="84">
        <v>120.18947368421051</v>
      </c>
      <c r="Q32" s="84" cm="1">
        <f t="array" ref="Q32">YVAL(P32,_xlfn.ANCHORARRAY(RT_fitresult))</f>
        <v>0.26070649162166815</v>
      </c>
      <c r="R32" s="84" cm="1">
        <f t="array" ref="R32">UCONF(P32,_xlfn.ANCHORARRAY(RT_fitresult))</f>
        <v>3.3803481996543414E-2</v>
      </c>
      <c r="S32" s="84">
        <f t="shared" si="0"/>
        <v>0.22690300962512472</v>
      </c>
      <c r="T32" s="84">
        <f t="shared" si="1"/>
        <v>0.29450997361821157</v>
      </c>
    </row>
    <row r="33" spans="10:20" hidden="1">
      <c r="J33" s="84">
        <v>295.92105263157896</v>
      </c>
      <c r="K33" s="84" cm="1">
        <f t="array" ref="K33">RELIABILITY(J33,RT_LL,RT_UL,RT_Initial,RT_Uinitial,RT_degf,_xlfn.ANCHORARRAY(RT_fitresult))</f>
        <v>0.11556976880786674</v>
      </c>
      <c r="L33" s="84"/>
      <c r="M33" s="84"/>
      <c r="N33" s="84"/>
      <c r="O33" s="84"/>
      <c r="P33" s="84">
        <v>130.20526315789473</v>
      </c>
      <c r="Q33" s="84" cm="1">
        <f t="array" ref="Q33">YVAL(P33,_xlfn.ANCHORARRAY(RT_fitresult))</f>
        <v>0.30426010300165479</v>
      </c>
      <c r="R33" s="84" cm="1">
        <f t="array" ref="R33">UCONF(P33,_xlfn.ANCHORARRAY(RT_fitresult))</f>
        <v>3.2119690164700843E-2</v>
      </c>
      <c r="S33" s="84">
        <f t="shared" si="0"/>
        <v>0.27214041283695395</v>
      </c>
      <c r="T33" s="84">
        <f t="shared" si="1"/>
        <v>0.33637979316635563</v>
      </c>
    </row>
    <row r="34" spans="10:20" hidden="1">
      <c r="J34" s="84">
        <v>318.68421052631578</v>
      </c>
      <c r="K34" s="84" cm="1">
        <f t="array" ref="K34">RELIABILITY(J34,RT_LL,RT_UL,RT_Initial,RT_Uinitial,RT_degf,_xlfn.ANCHORARRAY(RT_fitresult))</f>
        <v>7.0518033722668849E-2</v>
      </c>
      <c r="L34" s="84"/>
      <c r="M34" s="84"/>
      <c r="N34" s="84"/>
      <c r="O34" s="84"/>
      <c r="P34" s="84">
        <v>140.22105263157894</v>
      </c>
      <c r="Q34" s="84" cm="1">
        <f t="array" ref="Q34">YVAL(P34,_xlfn.ANCHORARRAY(RT_fitresult))</f>
        <v>0.35117187906033581</v>
      </c>
      <c r="R34" s="84" cm="1">
        <f t="array" ref="R34">UCONF(P34,_xlfn.ANCHORARRAY(RT_fitresult))</f>
        <v>3.189289301554022E-2</v>
      </c>
      <c r="S34" s="84">
        <f t="shared" si="0"/>
        <v>0.3192789860447956</v>
      </c>
      <c r="T34" s="84">
        <f t="shared" si="1"/>
        <v>0.38306477207587603</v>
      </c>
    </row>
    <row r="35" spans="10:20" hidden="1">
      <c r="J35" s="84">
        <v>341.4473684210526</v>
      </c>
      <c r="K35" s="84" cm="1">
        <f t="array" ref="K35">RELIABILITY(J35,RT_LL,RT_UL,RT_Initial,RT_Uinitial,RT_degf,_xlfn.ANCHORARRAY(RT_fitresult))</f>
        <v>4.8780417767644968E-2</v>
      </c>
      <c r="L35" s="84"/>
      <c r="M35" s="84"/>
      <c r="N35" s="84"/>
      <c r="O35" s="84"/>
      <c r="P35" s="84">
        <v>150.23684210526315</v>
      </c>
      <c r="Q35" s="84" cm="1">
        <f t="array" ref="Q35">YVAL(P35,_xlfn.ANCHORARRAY(RT_fitresult))</f>
        <v>0.40144181979771132</v>
      </c>
      <c r="R35" s="84" cm="1">
        <f t="array" ref="R35">UCONF(P35,_xlfn.ANCHORARRAY(RT_fitresult))</f>
        <v>3.4173085446136939E-2</v>
      </c>
      <c r="S35" s="84">
        <f t="shared" si="0"/>
        <v>0.36726873435157437</v>
      </c>
      <c r="T35" s="84">
        <f t="shared" si="1"/>
        <v>0.43561490524384827</v>
      </c>
    </row>
    <row r="36" spans="10:20" hidden="1">
      <c r="J36" s="84">
        <v>364.21052631578942</v>
      </c>
      <c r="K36" s="84" cm="1">
        <f t="array" ref="K36">RELIABILITY(J36,RT_LL,RT_UL,RT_Initial,RT_Uinitial,RT_degf,_xlfn.ANCHORARRAY(RT_fitresult))</f>
        <v>3.7703604067435337E-2</v>
      </c>
      <c r="L36" s="84"/>
      <c r="M36" s="84"/>
      <c r="N36" s="84"/>
      <c r="O36" s="84"/>
      <c r="P36" s="84">
        <v>160.25263157894736</v>
      </c>
      <c r="Q36" s="84" cm="1">
        <f t="array" ref="Q36">YVAL(P36,_xlfn.ANCHORARRAY(RT_fitresult))</f>
        <v>0.45506992521378142</v>
      </c>
      <c r="R36" s="84" cm="1">
        <f t="array" ref="R36">UCONF(P36,_xlfn.ANCHORARRAY(RT_fitresult))</f>
        <v>3.9538206504629553E-2</v>
      </c>
      <c r="S36" s="84">
        <f t="shared" si="0"/>
        <v>0.41553171870915184</v>
      </c>
      <c r="T36" s="84">
        <f t="shared" si="1"/>
        <v>0.494608131718411</v>
      </c>
    </row>
    <row r="37" spans="10:20" hidden="1">
      <c r="J37" s="84">
        <v>386.97368421052624</v>
      </c>
      <c r="K37" s="84" cm="1">
        <f t="array" ref="K37">RELIABILITY(J37,RT_LL,RT_UL,RT_Initial,RT_Uinitial,RT_degf,_xlfn.ANCHORARRAY(RT_fitresult))</f>
        <v>3.1499148138356914E-2</v>
      </c>
      <c r="L37" s="84"/>
      <c r="M37" s="84"/>
      <c r="N37" s="84"/>
      <c r="O37" s="84"/>
      <c r="P37" s="84">
        <v>170.26842105263157</v>
      </c>
      <c r="Q37" s="84" cm="1">
        <f t="array" ref="Q37">YVAL(P37,_xlfn.ANCHORARRAY(RT_fitresult))</f>
        <v>0.51205619530854585</v>
      </c>
      <c r="R37" s="84" cm="1">
        <f t="array" ref="R37">UCONF(P37,_xlfn.ANCHORARRAY(RT_fitresult))</f>
        <v>4.7898020226722654E-2</v>
      </c>
      <c r="S37" s="84">
        <f t="shared" si="0"/>
        <v>0.46415817508182322</v>
      </c>
      <c r="T37" s="84">
        <f t="shared" si="1"/>
        <v>0.55995421553526847</v>
      </c>
    </row>
    <row r="38" spans="10:20" hidden="1">
      <c r="J38" s="84">
        <v>409.73684210526307</v>
      </c>
      <c r="K38" s="84" cm="1">
        <f t="array" ref="K38">RELIABILITY(J38,RT_LL,RT_UL,RT_Initial,RT_Uinitial,RT_degf,_xlfn.ANCHORARRAY(RT_fitresult))</f>
        <v>2.7629802624678679E-2</v>
      </c>
      <c r="L38" s="84"/>
      <c r="M38" s="84"/>
      <c r="N38" s="84"/>
      <c r="O38" s="84"/>
      <c r="P38" s="84">
        <v>180.28421052631577</v>
      </c>
      <c r="Q38" s="84" cm="1">
        <f t="array" ref="Q38">YVAL(P38,_xlfn.ANCHORARRAY(RT_fitresult))</f>
        <v>0.57240063008200492</v>
      </c>
      <c r="R38" s="84" cm="1">
        <f t="array" ref="R38">UCONF(P38,_xlfn.ANCHORARRAY(RT_fitresult))</f>
        <v>5.8841252816651056E-2</v>
      </c>
      <c r="S38" s="84">
        <f t="shared" si="0"/>
        <v>0.51355937726535383</v>
      </c>
      <c r="T38" s="84">
        <f t="shared" si="1"/>
        <v>0.63124188289865601</v>
      </c>
    </row>
    <row r="39" spans="10:20" hidden="1">
      <c r="J39" s="84">
        <v>432.49999999999989</v>
      </c>
      <c r="K39" s="84" cm="1">
        <f t="array" ref="K39">RELIABILITY(J39,RT_LL,RT_UL,RT_Initial,RT_Uinitial,RT_degf,_xlfn.ANCHORARRAY(RT_fitresult))</f>
        <v>2.4957817910536861E-2</v>
      </c>
      <c r="L39" s="84"/>
      <c r="M39" s="84"/>
      <c r="N39" s="84"/>
      <c r="O39" s="84"/>
      <c r="P39" s="84">
        <v>190.29999999999998</v>
      </c>
      <c r="Q39" s="84" cm="1">
        <f t="array" ref="Q39">YVAL(P39,_xlfn.ANCHORARRAY(RT_fitresult))</f>
        <v>0.63610322953415843</v>
      </c>
      <c r="R39" s="84" cm="1">
        <f t="array" ref="R39">UCONF(P39,_xlfn.ANCHORARRAY(RT_fitresult))</f>
        <v>7.1973031512873167E-2</v>
      </c>
      <c r="S39" s="84">
        <f t="shared" si="0"/>
        <v>0.56413019802128528</v>
      </c>
      <c r="T39" s="84">
        <f t="shared" si="1"/>
        <v>0.70807626104703159</v>
      </c>
    </row>
  </sheetData>
  <mergeCells count="3">
    <mergeCell ref="M3:N3"/>
    <mergeCell ref="J3:K3"/>
    <mergeCell ref="J12:K12"/>
  </mergeCells>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2D298-3F23-41AC-ADBF-CFF537FE961E}">
  <dimension ref="B2:T37"/>
  <sheetViews>
    <sheetView showGridLines="0" workbookViewId="0">
      <selection activeCell="M5" sqref="M5"/>
    </sheetView>
  </sheetViews>
  <sheetFormatPr defaultRowHeight="14.5"/>
  <cols>
    <col min="1" max="1" width="4.54296875" customWidth="1"/>
    <col min="2" max="2" width="13.54296875" customWidth="1"/>
    <col min="3" max="3" width="12.26953125" customWidth="1"/>
    <col min="4" max="4" width="11.7265625" customWidth="1"/>
    <col min="5" max="5" width="12.453125" customWidth="1"/>
    <col min="6" max="6" width="13.54296875" customWidth="1"/>
    <col min="7" max="7" width="9.81640625" customWidth="1"/>
    <col min="8" max="8" width="5.1796875" customWidth="1"/>
    <col min="9" max="9" width="4.54296875" customWidth="1"/>
    <col min="10" max="10" width="22.1796875" customWidth="1"/>
    <col min="11" max="11" width="11.453125" customWidth="1"/>
    <col min="13" max="13" width="21.453125" customWidth="1"/>
    <col min="14" max="14" width="10.26953125" customWidth="1"/>
    <col min="15" max="15" width="11.453125" customWidth="1"/>
  </cols>
  <sheetData>
    <row r="2" spans="2:16">
      <c r="B2" t="s">
        <v>196</v>
      </c>
    </row>
    <row r="3" spans="2:16" ht="32.25" customHeight="1">
      <c r="B3" s="86" t="s">
        <v>63</v>
      </c>
      <c r="C3" s="86" t="s">
        <v>64</v>
      </c>
      <c r="D3" s="86" t="s">
        <v>65</v>
      </c>
      <c r="F3" s="88" t="s">
        <v>86</v>
      </c>
      <c r="G3" s="89" t="s">
        <v>85</v>
      </c>
      <c r="J3" s="176" t="s">
        <v>8</v>
      </c>
      <c r="K3" s="177"/>
      <c r="M3" s="174" t="s">
        <v>54</v>
      </c>
      <c r="N3" s="175"/>
    </row>
    <row r="4" spans="2:16">
      <c r="B4" s="87">
        <v>37709</v>
      </c>
      <c r="C4" s="17">
        <v>10.173</v>
      </c>
      <c r="D4" s="17">
        <v>10.073</v>
      </c>
      <c r="F4" s="18" cm="1">
        <f t="array" ref="F4:F9">DIFF(UT_data[Calibration Date])</f>
        <v>104</v>
      </c>
      <c r="G4" s="19" cm="1">
        <f t="array" ref="G4:G9">_xlfn.DROP(UT_data[As-Found Value],1)-_xlfn.DROP(UT_data[As-Left Value],-1)</f>
        <v>0.25099999999999945</v>
      </c>
      <c r="J4" s="103" t="s">
        <v>66</v>
      </c>
      <c r="K4" s="33">
        <v>2</v>
      </c>
      <c r="M4" s="118" t="s">
        <v>43</v>
      </c>
      <c r="N4" s="102" cm="1">
        <f t="array" ref="N4">BISECT(_xlfn.LAMBDA(_xlpm.x, SQRT(UCONF(_xlpm.x,_xlfn.ANCHORARRAY( UT_fitresult))^2+UT_uinitial^2)-UT_target),1,UT_searchmax,0.001,40)</f>
        <v>328.7755126953125</v>
      </c>
    </row>
    <row r="5" spans="2:16">
      <c r="B5" s="87">
        <v>37813</v>
      </c>
      <c r="C5" s="17">
        <v>10.324</v>
      </c>
      <c r="D5" s="17">
        <v>10.048</v>
      </c>
      <c r="F5" s="18">
        <v>86</v>
      </c>
      <c r="G5" s="25">
        <v>0.10999999999999943</v>
      </c>
      <c r="J5" s="103" t="s">
        <v>67</v>
      </c>
      <c r="K5" s="33">
        <v>10.029999999999999</v>
      </c>
      <c r="M5" s="27" t="s">
        <v>74</v>
      </c>
      <c r="N5" s="25" cm="1">
        <f t="array" ref="N5">UCONF(UT_interval,_xlfn.ANCHORARRAY(UT_fitresult))</f>
        <v>0.41370880868128246</v>
      </c>
    </row>
    <row r="6" spans="2:16">
      <c r="B6" s="87">
        <v>37899</v>
      </c>
      <c r="C6" s="17">
        <v>10.157999999999999</v>
      </c>
      <c r="D6" s="17">
        <v>9.9930000000000003</v>
      </c>
      <c r="F6" s="18">
        <v>135</v>
      </c>
      <c r="G6" s="25">
        <v>0.29899999999999949</v>
      </c>
      <c r="J6" s="103" t="s">
        <v>68</v>
      </c>
      <c r="K6" s="33">
        <v>0.28000000000000003</v>
      </c>
      <c r="M6" s="27" t="s">
        <v>75</v>
      </c>
      <c r="N6" s="25" cm="1">
        <f t="array" ref="N6">YVAL(UT_interval,_xlfn.ANCHORARRAY(UT_fitresult))+UT_initial</f>
        <v>11.891009672422738</v>
      </c>
    </row>
    <row r="7" spans="2:16">
      <c r="B7" s="87">
        <v>38034</v>
      </c>
      <c r="C7" s="17">
        <v>10.292</v>
      </c>
      <c r="D7" s="17">
        <v>10.125999999999999</v>
      </c>
      <c r="F7" s="18">
        <v>70</v>
      </c>
      <c r="G7" s="25">
        <v>0.10000000000000142</v>
      </c>
      <c r="J7" s="103" t="s">
        <v>69</v>
      </c>
      <c r="K7" s="33">
        <v>3</v>
      </c>
      <c r="M7" s="27" t="s">
        <v>76</v>
      </c>
      <c r="N7" s="25">
        <f>SQRT(UT_fituncert^2+UT_uinitial^2)</f>
        <v>0.49955478015977983</v>
      </c>
    </row>
    <row r="8" spans="2:16">
      <c r="B8" s="87">
        <v>38104</v>
      </c>
      <c r="C8" s="17">
        <v>10.226000000000001</v>
      </c>
      <c r="D8" s="17">
        <v>10.023999999999999</v>
      </c>
      <c r="F8" s="18">
        <v>173</v>
      </c>
      <c r="G8" s="25">
        <v>0.61500000000000021</v>
      </c>
      <c r="J8" s="104" t="s">
        <v>70</v>
      </c>
      <c r="K8" s="110">
        <v>0.5</v>
      </c>
      <c r="M8" s="119" t="s">
        <v>77</v>
      </c>
      <c r="N8" s="96">
        <f>UT_predictedu^4/(UT_fituncert^4/INDEX(_xlfn.ANCHORARRAY(UT_fitresult),2,2)+UT_uinitial^4/UT_degf)</f>
        <v>6.6448244950746185</v>
      </c>
    </row>
    <row r="9" spans="2:16">
      <c r="B9" s="87">
        <v>38277</v>
      </c>
      <c r="C9" s="17">
        <v>10.638999999999999</v>
      </c>
      <c r="D9" s="17">
        <v>10.208</v>
      </c>
      <c r="F9" s="18">
        <v>167</v>
      </c>
      <c r="G9" s="25">
        <v>0.40300000000000047</v>
      </c>
      <c r="K9" s="82"/>
    </row>
    <row r="10" spans="2:16">
      <c r="B10" s="87">
        <v>38444</v>
      </c>
      <c r="C10" s="17">
        <v>10.611000000000001</v>
      </c>
      <c r="D10" s="17">
        <v>10.451000000000001</v>
      </c>
      <c r="F10" s="29"/>
      <c r="G10" s="96"/>
      <c r="J10" s="176" t="s">
        <v>93</v>
      </c>
      <c r="K10" s="177"/>
    </row>
    <row r="11" spans="2:16">
      <c r="J11" s="92" t="s">
        <v>79</v>
      </c>
      <c r="K11" s="33">
        <f>MAX(_xlfn.ANCHORARRAY(UT_time))*10</f>
        <v>1730</v>
      </c>
      <c r="M11" s="97" t="s">
        <v>71</v>
      </c>
      <c r="N11" s="111" cm="1">
        <f t="array" ref="N11:O14">V1FIT(_xlfn.ANCHORARRAY(UT_time),_xlfn.ANCHORARRAY(UT_delta),UT_fitorder)</f>
        <v>1.5740675265266623E-4</v>
      </c>
      <c r="O11" s="111">
        <v>1.6737925059123567E-5</v>
      </c>
      <c r="P11" s="112"/>
    </row>
    <row r="12" spans="2:16">
      <c r="J12" s="92" t="s">
        <v>94</v>
      </c>
      <c r="K12" s="33">
        <f>UT_searchmax/4</f>
        <v>432.5</v>
      </c>
      <c r="M12" s="18" t="s">
        <v>72</v>
      </c>
      <c r="N12" s="120">
        <v>7.0828656926355496E-2</v>
      </c>
      <c r="O12" s="31">
        <v>4</v>
      </c>
      <c r="P12" s="19"/>
    </row>
    <row r="13" spans="2:16">
      <c r="J13" s="94" t="s">
        <v>89</v>
      </c>
      <c r="K13" s="95">
        <f>MAX(_xlfn.ANCHORARRAY(UT_time))*1.1</f>
        <v>190.3</v>
      </c>
      <c r="M13" s="109" t="s">
        <v>73</v>
      </c>
      <c r="N13" s="113">
        <v>1.0100505922815209E-6</v>
      </c>
      <c r="O13" s="113">
        <v>-6.6068289181156153E-9</v>
      </c>
      <c r="P13" s="114"/>
    </row>
    <row r="14" spans="2:16">
      <c r="M14" s="109"/>
      <c r="N14" s="113">
        <v>-6.6068289181156145E-9</v>
      </c>
      <c r="O14" s="113">
        <v>4.5494722646190491E-11</v>
      </c>
      <c r="P14" s="114"/>
    </row>
    <row r="15" spans="2:16">
      <c r="M15" s="115"/>
      <c r="N15" s="116"/>
      <c r="O15" s="116"/>
      <c r="P15" s="117"/>
    </row>
    <row r="17" spans="10:20" hidden="1">
      <c r="J17" s="84" t="s">
        <v>24</v>
      </c>
      <c r="K17" s="84" t="s">
        <v>78</v>
      </c>
      <c r="L17" s="84"/>
      <c r="M17" s="84" t="s">
        <v>80</v>
      </c>
      <c r="N17" s="84"/>
      <c r="O17" s="84"/>
      <c r="P17" s="84" t="s">
        <v>24</v>
      </c>
      <c r="Q17" s="84" t="s">
        <v>82</v>
      </c>
      <c r="R17" s="84" t="s">
        <v>78</v>
      </c>
      <c r="S17" s="84" t="s">
        <v>83</v>
      </c>
      <c r="T17" s="84" t="s">
        <v>84</v>
      </c>
    </row>
    <row r="18" spans="10:20" hidden="1">
      <c r="J18" s="84" cm="1">
        <f t="array" ref="J18:J37">LINSPACE(0,UT_plotmax,20)</f>
        <v>0</v>
      </c>
      <c r="K18" s="84" cm="1">
        <f t="array" ref="K18">SQRT(UCONF(J18,_xlfn.ANCHORARRAY( UT_fitresult))^2+UT_uinitial^2)</f>
        <v>0.28000000000000003</v>
      </c>
      <c r="L18" s="84"/>
      <c r="M18" s="84">
        <v>0</v>
      </c>
      <c r="N18" s="84">
        <f>UT_target</f>
        <v>0.5</v>
      </c>
      <c r="O18" s="84"/>
      <c r="P18" s="84" cm="1">
        <f t="array" ref="P18:P37">LINSPACE(0,UT_plotmaxdata,20)</f>
        <v>0</v>
      </c>
      <c r="Q18" s="84" cm="1">
        <f t="array" ref="Q18">YVAL(P18,_xlfn.ANCHORARRAY(UT_fitresult))</f>
        <v>0</v>
      </c>
      <c r="R18" s="84" cm="1">
        <f t="array" ref="R18">UCONF(P18,_xlfn.ANCHORARRAY(UT_fitresult))</f>
        <v>0</v>
      </c>
      <c r="S18" s="84">
        <f>Q18-R18</f>
        <v>0</v>
      </c>
      <c r="T18" s="84">
        <f>Q18+R18</f>
        <v>0</v>
      </c>
    </row>
    <row r="19" spans="10:20" hidden="1">
      <c r="J19" s="84">
        <v>22.763157894736842</v>
      </c>
      <c r="K19" s="84" cm="1">
        <f t="array" ref="K19">SQRT(UCONF(J19,_xlfn.ANCHORARRAY( UT_fitresult))^2+UT_uinitial^2)</f>
        <v>0.28067726871288023</v>
      </c>
      <c r="L19" s="84"/>
      <c r="M19" s="84">
        <f>UT_plotmax</f>
        <v>432.5</v>
      </c>
      <c r="N19" s="84">
        <f>UT_target</f>
        <v>0.5</v>
      </c>
      <c r="O19" s="84"/>
      <c r="P19" s="84">
        <v>10.015789473684212</v>
      </c>
      <c r="Q19" s="84" cm="1">
        <f t="array" ref="Q19">YVAL(P19,_xlfn.ANCHORARRAY(UT_fitresult))</f>
        <v>3.2556352356526361E-3</v>
      </c>
      <c r="R19" s="84" cm="1">
        <f t="array" ref="R19">UCONF(P19,_xlfn.ANCHORARRAY(UT_fitresult))</f>
        <v>9.4077496804031834E-3</v>
      </c>
      <c r="S19" s="84">
        <f t="shared" ref="S19:S37" si="0">Q19-R19</f>
        <v>-6.1521144447505473E-3</v>
      </c>
      <c r="T19" s="84">
        <f t="shared" ref="T19:T37" si="1">Q19+R19</f>
        <v>1.2663384916055819E-2</v>
      </c>
    </row>
    <row r="20" spans="10:20" hidden="1">
      <c r="J20" s="84">
        <v>45.526315789473685</v>
      </c>
      <c r="K20" s="84" cm="1">
        <f t="array" ref="K20">SQRT(UCONF(J20,_xlfn.ANCHORARRAY( UT_fitresult))^2+UT_uinitial^2)</f>
        <v>0.28185470741510271</v>
      </c>
      <c r="L20" s="84"/>
      <c r="M20" s="84"/>
      <c r="N20" s="84"/>
      <c r="O20" s="84"/>
      <c r="P20" s="84">
        <v>20.031578947368423</v>
      </c>
      <c r="Q20" s="84" cm="1">
        <f t="array" ref="Q20">YVAL(P20,_xlfn.ANCHORARRAY(UT_fitresult))</f>
        <v>9.8694351499997671E-3</v>
      </c>
      <c r="R20" s="84" cm="1">
        <f t="array" ref="R20">UCONF(P20,_xlfn.ANCHORARRAY(UT_fitresult))</f>
        <v>1.7504615219041651E-2</v>
      </c>
      <c r="S20" s="84">
        <f t="shared" si="0"/>
        <v>-7.6351800690418834E-3</v>
      </c>
      <c r="T20" s="84">
        <f t="shared" si="1"/>
        <v>2.7374050369041419E-2</v>
      </c>
    </row>
    <row r="21" spans="10:20" hidden="1">
      <c r="J21" s="84">
        <v>68.28947368421052</v>
      </c>
      <c r="K21" s="84" cm="1">
        <f t="array" ref="K21">SQRT(UCONF(J21,_xlfn.ANCHORARRAY( UT_fitresult))^2+UT_uinitial^2)</f>
        <v>0.28265110763442802</v>
      </c>
      <c r="L21" s="84"/>
      <c r="M21" s="84" t="s">
        <v>81</v>
      </c>
      <c r="N21" s="84"/>
      <c r="O21" s="84"/>
      <c r="P21" s="84">
        <v>30.047368421052635</v>
      </c>
      <c r="Q21" s="84" cm="1">
        <f t="array" ref="Q21">YVAL(P21,_xlfn.ANCHORARRAY(UT_fitresult))</f>
        <v>1.9841399743041395E-2</v>
      </c>
      <c r="R21" s="84" cm="1">
        <f t="array" ref="R21">UCONF(P21,_xlfn.ANCHORARRAY(UT_fitresult))</f>
        <v>2.4301051405754032E-2</v>
      </c>
      <c r="S21" s="84">
        <f t="shared" si="0"/>
        <v>-4.4596516627126367E-3</v>
      </c>
      <c r="T21" s="84">
        <f t="shared" si="1"/>
        <v>4.4142451148795427E-2</v>
      </c>
    </row>
    <row r="22" spans="10:20" hidden="1">
      <c r="J22" s="84">
        <v>91.05263157894737</v>
      </c>
      <c r="K22" s="84" cm="1">
        <f t="array" ref="K22">SQRT(UCONF(J22,_xlfn.ANCHORARRAY( UT_fitresult))^2+UT_uinitial^2)</f>
        <v>0.28271224434010922</v>
      </c>
      <c r="L22" s="84"/>
      <c r="M22" s="85">
        <f>UT_interval</f>
        <v>328.7755126953125</v>
      </c>
      <c r="N22" s="84">
        <v>0</v>
      </c>
      <c r="O22" s="84"/>
      <c r="P22" s="84">
        <v>40.063157894736847</v>
      </c>
      <c r="Q22" s="84" cm="1">
        <f t="array" ref="Q22">YVAL(P22,_xlfn.ANCHORARRAY(UT_fitresult))</f>
        <v>3.3171529014777511E-2</v>
      </c>
      <c r="R22" s="84" cm="1">
        <f t="array" ref="R22">UCONF(P22,_xlfn.ANCHORARRAY(UT_fitresult))</f>
        <v>2.9811171520971194E-2</v>
      </c>
      <c r="S22" s="84">
        <f t="shared" si="0"/>
        <v>3.3603574938063166E-3</v>
      </c>
      <c r="T22" s="84">
        <f t="shared" si="1"/>
        <v>6.2982700535748698E-2</v>
      </c>
    </row>
    <row r="23" spans="10:20" hidden="1">
      <c r="J23" s="84">
        <v>113.81578947368422</v>
      </c>
      <c r="K23" s="84" cm="1">
        <f t="array" ref="K23">SQRT(UCONF(J23,_xlfn.ANCHORARRAY( UT_fitresult))^2+UT_uinitial^2)</f>
        <v>0.28219974147638327</v>
      </c>
      <c r="L23" s="84"/>
      <c r="M23" s="85">
        <f>UT_interval</f>
        <v>328.7755126953125</v>
      </c>
      <c r="N23" s="84">
        <f>MAX(K19:K37)</f>
        <v>0.88892597910263105</v>
      </c>
      <c r="O23" s="84"/>
      <c r="P23" s="84">
        <v>50.078947368421055</v>
      </c>
      <c r="Q23" s="84" cm="1">
        <f t="array" ref="Q23">YVAL(P23,_xlfn.ANCHORARRAY(UT_fitresult))</f>
        <v>4.985982296520812E-2</v>
      </c>
      <c r="R23" s="84" cm="1">
        <f t="array" ref="R23">UCONF(P23,_xlfn.ANCHORARRAY(UT_fitresult))</f>
        <v>3.4054449231109812E-2</v>
      </c>
      <c r="S23" s="84">
        <f t="shared" si="0"/>
        <v>1.5805373734098307E-2</v>
      </c>
      <c r="T23" s="84">
        <f t="shared" si="1"/>
        <v>8.3914272196317932E-2</v>
      </c>
    </row>
    <row r="24" spans="10:20" hidden="1">
      <c r="J24" s="84">
        <v>136.57894736842107</v>
      </c>
      <c r="K24" s="84" cm="1">
        <f t="array" ref="K24">SQRT(UCONF(J24,_xlfn.ANCHORARRAY( UT_fitresult))^2+UT_uinitial^2)</f>
        <v>0.28179278668911745</v>
      </c>
      <c r="L24" s="84"/>
      <c r="M24" s="84"/>
      <c r="N24" s="84"/>
      <c r="O24" s="84"/>
      <c r="P24" s="84">
        <v>60.094736842105263</v>
      </c>
      <c r="Q24" s="84" cm="1">
        <f t="array" ref="Q24">YVAL(P24,_xlfn.ANCHORARRAY(UT_fitresult))</f>
        <v>6.9906281594333222E-2</v>
      </c>
      <c r="R24" s="84" cm="1">
        <f t="array" ref="R24">UCONF(P24,_xlfn.ANCHORARRAY(UT_fitresult))</f>
        <v>3.7058427733919583E-2</v>
      </c>
      <c r="S24" s="84">
        <f t="shared" si="0"/>
        <v>3.2847853860413639E-2</v>
      </c>
      <c r="T24" s="84">
        <f t="shared" si="1"/>
        <v>0.1069647093282528</v>
      </c>
    </row>
    <row r="25" spans="10:20" hidden="1">
      <c r="J25" s="84">
        <v>159.34210526315792</v>
      </c>
      <c r="K25" s="84" cm="1">
        <f t="array" ref="K25">SQRT(UCONF(J25,_xlfn.ANCHORARRAY( UT_fitresult))^2+UT_uinitial^2)</f>
        <v>0.28269222860231036</v>
      </c>
      <c r="L25" s="84"/>
      <c r="M25" s="84"/>
      <c r="N25" s="84"/>
      <c r="O25" s="84"/>
      <c r="P25" s="84">
        <v>70.110526315789471</v>
      </c>
      <c r="Q25" s="84" cm="1">
        <f t="array" ref="Q25">YVAL(P25,_xlfn.ANCHORARRAY(UT_fitresult))</f>
        <v>9.3310904902152811E-2</v>
      </c>
      <c r="R25" s="84" cm="1">
        <f t="array" ref="R25">UCONF(P25,_xlfn.ANCHORARRAY(UT_fitresult))</f>
        <v>3.886316684956579E-2</v>
      </c>
      <c r="S25" s="84">
        <f t="shared" si="0"/>
        <v>5.4447738052587021E-2</v>
      </c>
      <c r="T25" s="84">
        <f t="shared" si="1"/>
        <v>0.13217407175171861</v>
      </c>
    </row>
    <row r="26" spans="10:20" hidden="1">
      <c r="J26" s="84">
        <v>182.10526315789477</v>
      </c>
      <c r="K26" s="84" cm="1">
        <f t="array" ref="K26">SQRT(UCONF(J26,_xlfn.ANCHORARRAY( UT_fitresult))^2+UT_uinitial^2)</f>
        <v>0.2865837718743971</v>
      </c>
      <c r="L26" s="84"/>
      <c r="M26" s="84"/>
      <c r="N26" s="84"/>
      <c r="O26" s="84"/>
      <c r="P26" s="84">
        <v>80.126315789473679</v>
      </c>
      <c r="Q26" s="84" cm="1">
        <f t="array" ref="Q26">YVAL(P26,_xlfn.ANCHORARRAY(UT_fitresult))</f>
        <v>0.1200736928886669</v>
      </c>
      <c r="R26" s="84" cm="1">
        <f t="array" ref="R26">UCONF(P26,_xlfn.ANCHORARRAY(UT_fitresult))</f>
        <v>3.9528780822183009E-2</v>
      </c>
      <c r="S26" s="84">
        <f t="shared" si="0"/>
        <v>8.0544912066483898E-2</v>
      </c>
      <c r="T26" s="84">
        <f t="shared" si="1"/>
        <v>0.1596024737108499</v>
      </c>
    </row>
    <row r="27" spans="10:20" hidden="1">
      <c r="J27" s="84">
        <v>204.86842105263162</v>
      </c>
      <c r="K27" s="84" cm="1">
        <f t="array" ref="K27">SQRT(UCONF(J27,_xlfn.ANCHORARRAY( UT_fitresult))^2+UT_uinitial^2)</f>
        <v>0.29549419510489827</v>
      </c>
      <c r="L27" s="84"/>
      <c r="M27" s="84"/>
      <c r="N27" s="84"/>
      <c r="O27" s="84"/>
      <c r="P27" s="84">
        <v>90.142105263157887</v>
      </c>
      <c r="Q27" s="84" cm="1">
        <f t="array" ref="Q27">YVAL(P27,_xlfn.ANCHORARRAY(UT_fitresult))</f>
        <v>0.15019464555387546</v>
      </c>
      <c r="R27" s="84" cm="1">
        <f t="array" ref="R27">UCONF(P27,_xlfn.ANCHORARRAY(UT_fitresult))</f>
        <v>3.9148617307026415E-2</v>
      </c>
      <c r="S27" s="84">
        <f t="shared" si="0"/>
        <v>0.11104602824684905</v>
      </c>
      <c r="T27" s="84">
        <f t="shared" si="1"/>
        <v>0.18934326286090186</v>
      </c>
    </row>
    <row r="28" spans="10:20" hidden="1">
      <c r="J28" s="84">
        <v>227.63157894736847</v>
      </c>
      <c r="K28" s="84" cm="1">
        <f t="array" ref="K28">SQRT(UCONF(J28,_xlfn.ANCHORARRAY( UT_fitresult))^2+UT_uinitial^2)</f>
        <v>0.31149846828924876</v>
      </c>
      <c r="L28" s="84"/>
      <c r="M28" s="84"/>
      <c r="N28" s="84"/>
      <c r="O28" s="84"/>
      <c r="P28" s="84">
        <v>100.1578947368421</v>
      </c>
      <c r="Q28" s="84" cm="1">
        <f t="array" ref="Q28">YVAL(P28,_xlfn.ANCHORARRAY(UT_fitresult))</f>
        <v>0.18367376289777854</v>
      </c>
      <c r="R28" s="84" cm="1">
        <f t="array" ref="R28">UCONF(P28,_xlfn.ANCHORARRAY(UT_fitresult))</f>
        <v>3.7872861128169837E-2</v>
      </c>
      <c r="S28" s="84">
        <f t="shared" si="0"/>
        <v>0.14580090176960869</v>
      </c>
      <c r="T28" s="84">
        <f t="shared" si="1"/>
        <v>0.22154662402594838</v>
      </c>
    </row>
    <row r="29" spans="10:20" hidden="1">
      <c r="J29" s="84">
        <v>250.39473684210532</v>
      </c>
      <c r="K29" s="84" cm="1">
        <f t="array" ref="K29">SQRT(UCONF(J29,_xlfn.ANCHORARRAY( UT_fitresult))^2+UT_uinitial^2)</f>
        <v>0.33633846406960677</v>
      </c>
      <c r="L29" s="84"/>
      <c r="M29" s="84"/>
      <c r="N29" s="84"/>
      <c r="O29" s="84"/>
      <c r="P29" s="84">
        <v>110.1736842105263</v>
      </c>
      <c r="Q29" s="84" cm="1">
        <f t="array" ref="Q29">YVAL(P29,_xlfn.ANCHORARRAY(UT_fitresult))</f>
        <v>0.2205110449203761</v>
      </c>
      <c r="R29" s="84" cm="1">
        <f t="array" ref="R29">UCONF(P29,_xlfn.ANCHORARRAY(UT_fitresult))</f>
        <v>3.5950927536770615E-2</v>
      </c>
      <c r="S29" s="84">
        <f t="shared" si="0"/>
        <v>0.18456011738360548</v>
      </c>
      <c r="T29" s="84">
        <f t="shared" si="1"/>
        <v>0.25646197245714669</v>
      </c>
    </row>
    <row r="30" spans="10:20" hidden="1">
      <c r="J30" s="84">
        <v>273.15789473684214</v>
      </c>
      <c r="K30" s="84" cm="1">
        <f t="array" ref="K30">SQRT(UCONF(J30,_xlfn.ANCHORARRAY( UT_fitresult))^2+UT_uinitial^2)</f>
        <v>0.37112888948221923</v>
      </c>
      <c r="L30" s="84"/>
      <c r="M30" s="84"/>
      <c r="N30" s="84"/>
      <c r="O30" s="84"/>
      <c r="P30" s="84">
        <v>120.18947368421051</v>
      </c>
      <c r="Q30" s="84" cm="1">
        <f t="array" ref="Q30">YVAL(P30,_xlfn.ANCHORARRAY(UT_fitresult))</f>
        <v>0.26070649162166815</v>
      </c>
      <c r="R30" s="84" cm="1">
        <f t="array" ref="R30">UCONF(P30,_xlfn.ANCHORARRAY(UT_fitresult))</f>
        <v>3.3803481996543414E-2</v>
      </c>
      <c r="S30" s="84">
        <f t="shared" si="0"/>
        <v>0.22690300962512472</v>
      </c>
      <c r="T30" s="84">
        <f t="shared" si="1"/>
        <v>0.29450997361821157</v>
      </c>
    </row>
    <row r="31" spans="10:20" hidden="1">
      <c r="J31" s="84">
        <v>295.92105263157896</v>
      </c>
      <c r="K31" s="84" cm="1">
        <f t="array" ref="K31">SQRT(UCONF(J31,_xlfn.ANCHORARRAY( UT_fitresult))^2+UT_uinitial^2)</f>
        <v>0.41630128270074324</v>
      </c>
      <c r="L31" s="84"/>
      <c r="M31" s="84"/>
      <c r="N31" s="84"/>
      <c r="O31" s="84"/>
      <c r="P31" s="84">
        <v>130.20526315789473</v>
      </c>
      <c r="Q31" s="84" cm="1">
        <f t="array" ref="Q31">YVAL(P31,_xlfn.ANCHORARRAY(UT_fitresult))</f>
        <v>0.30426010300165479</v>
      </c>
      <c r="R31" s="84" cm="1">
        <f t="array" ref="R31">UCONF(P31,_xlfn.ANCHORARRAY(UT_fitresult))</f>
        <v>3.2119690164700843E-2</v>
      </c>
      <c r="S31" s="84">
        <f t="shared" si="0"/>
        <v>0.27214041283695395</v>
      </c>
      <c r="T31" s="84">
        <f t="shared" si="1"/>
        <v>0.33637979316635563</v>
      </c>
    </row>
    <row r="32" spans="10:20" hidden="1">
      <c r="J32" s="84">
        <v>318.68421052631578</v>
      </c>
      <c r="K32" s="84" cm="1">
        <f t="array" ref="K32">SQRT(UCONF(J32,_xlfn.ANCHORARRAY( UT_fitresult))^2+UT_uinitial^2)</f>
        <v>0.4717660739639295</v>
      </c>
      <c r="L32" s="84"/>
      <c r="M32" s="84"/>
      <c r="N32" s="84"/>
      <c r="O32" s="84"/>
      <c r="P32" s="84">
        <v>140.22105263157894</v>
      </c>
      <c r="Q32" s="84" cm="1">
        <f t="array" ref="Q32">YVAL(P32,_xlfn.ANCHORARRAY(UT_fitresult))</f>
        <v>0.35117187906033581</v>
      </c>
      <c r="R32" s="84" cm="1">
        <f t="array" ref="R32">UCONF(P32,_xlfn.ANCHORARRAY(UT_fitresult))</f>
        <v>3.189289301554022E-2</v>
      </c>
      <c r="S32" s="84">
        <f t="shared" si="0"/>
        <v>0.3192789860447956</v>
      </c>
      <c r="T32" s="84">
        <f t="shared" si="1"/>
        <v>0.38306477207587603</v>
      </c>
    </row>
    <row r="33" spans="10:20" hidden="1">
      <c r="J33" s="84">
        <v>341.4473684210526</v>
      </c>
      <c r="K33" s="84" cm="1">
        <f t="array" ref="K33">SQRT(UCONF(J33,_xlfn.ANCHORARRAY( UT_fitresult))^2+UT_uinitial^2)</f>
        <v>0.53714855738422018</v>
      </c>
      <c r="L33" s="84"/>
      <c r="M33" s="84"/>
      <c r="N33" s="84"/>
      <c r="O33" s="84"/>
      <c r="P33" s="84">
        <v>150.23684210526315</v>
      </c>
      <c r="Q33" s="84" cm="1">
        <f t="array" ref="Q33">YVAL(P33,_xlfn.ANCHORARRAY(UT_fitresult))</f>
        <v>0.40144181979771132</v>
      </c>
      <c r="R33" s="84" cm="1">
        <f t="array" ref="R33">UCONF(P33,_xlfn.ANCHORARRAY(UT_fitresult))</f>
        <v>3.4173085446136939E-2</v>
      </c>
      <c r="S33" s="84">
        <f t="shared" si="0"/>
        <v>0.36726873435157437</v>
      </c>
      <c r="T33" s="84">
        <f t="shared" si="1"/>
        <v>0.43561490524384827</v>
      </c>
    </row>
    <row r="34" spans="10:20" hidden="1">
      <c r="J34" s="84">
        <v>364.21052631578942</v>
      </c>
      <c r="K34" s="84" cm="1">
        <f t="array" ref="K34">SQRT(UCONF(J34,_xlfn.ANCHORARRAY( UT_fitresult))^2+UT_uinitial^2)</f>
        <v>0.61197913136018189</v>
      </c>
      <c r="L34" s="84"/>
      <c r="M34" s="84"/>
      <c r="N34" s="84"/>
      <c r="O34" s="84"/>
      <c r="P34" s="84">
        <v>160.25263157894736</v>
      </c>
      <c r="Q34" s="84" cm="1">
        <f t="array" ref="Q34">YVAL(P34,_xlfn.ANCHORARRAY(UT_fitresult))</f>
        <v>0.45506992521378142</v>
      </c>
      <c r="R34" s="84" cm="1">
        <f t="array" ref="R34">UCONF(P34,_xlfn.ANCHORARRAY(UT_fitresult))</f>
        <v>3.9538206504629553E-2</v>
      </c>
      <c r="S34" s="84">
        <f t="shared" si="0"/>
        <v>0.41553171870915184</v>
      </c>
      <c r="T34" s="84">
        <f t="shared" si="1"/>
        <v>0.494608131718411</v>
      </c>
    </row>
    <row r="35" spans="10:20" hidden="1">
      <c r="J35" s="84">
        <v>386.97368421052624</v>
      </c>
      <c r="K35" s="84" cm="1">
        <f t="array" ref="K35">SQRT(UCONF(J35,_xlfn.ANCHORARRAY( UT_fitresult))^2+UT_uinitial^2)</f>
        <v>0.69580292271059607</v>
      </c>
      <c r="L35" s="84"/>
      <c r="M35" s="84"/>
      <c r="N35" s="84"/>
      <c r="O35" s="84"/>
      <c r="P35" s="84">
        <v>170.26842105263157</v>
      </c>
      <c r="Q35" s="84" cm="1">
        <f t="array" ref="Q35">YVAL(P35,_xlfn.ANCHORARRAY(UT_fitresult))</f>
        <v>0.51205619530854585</v>
      </c>
      <c r="R35" s="84" cm="1">
        <f t="array" ref="R35">UCONF(P35,_xlfn.ANCHORARRAY(UT_fitresult))</f>
        <v>4.7898020226722654E-2</v>
      </c>
      <c r="S35" s="84">
        <f t="shared" si="0"/>
        <v>0.46415817508182322</v>
      </c>
      <c r="T35" s="84">
        <f t="shared" si="1"/>
        <v>0.55995421553526847</v>
      </c>
    </row>
    <row r="36" spans="10:20" hidden="1">
      <c r="J36" s="84">
        <v>409.73684210526307</v>
      </c>
      <c r="K36" s="84" cm="1">
        <f t="array" ref="K36">SQRT(UCONF(J36,_xlfn.ANCHORARRAY( UT_fitresult))^2+UT_uinitial^2)</f>
        <v>0.78822605026761539</v>
      </c>
      <c r="L36" s="84"/>
      <c r="M36" s="84"/>
      <c r="N36" s="84"/>
      <c r="O36" s="84"/>
      <c r="P36" s="84">
        <v>180.28421052631577</v>
      </c>
      <c r="Q36" s="84" cm="1">
        <f t="array" ref="Q36">YVAL(P36,_xlfn.ANCHORARRAY(UT_fitresult))</f>
        <v>0.57240063008200492</v>
      </c>
      <c r="R36" s="84" cm="1">
        <f t="array" ref="R36">UCONF(P36,_xlfn.ANCHORARRAY(UT_fitresult))</f>
        <v>5.8841252816651056E-2</v>
      </c>
      <c r="S36" s="84">
        <f t="shared" si="0"/>
        <v>0.51355937726535383</v>
      </c>
      <c r="T36" s="84">
        <f t="shared" si="1"/>
        <v>0.63124188289865601</v>
      </c>
    </row>
    <row r="37" spans="10:20" hidden="1">
      <c r="J37" s="84">
        <v>432.49999999999989</v>
      </c>
      <c r="K37" s="84" cm="1">
        <f t="array" ref="K37">SQRT(UCONF(J37,_xlfn.ANCHORARRAY( UT_fitresult))^2+UT_uinitial^2)</f>
        <v>0.88892597910263105</v>
      </c>
      <c r="L37" s="84"/>
      <c r="M37" s="84"/>
      <c r="N37" s="84"/>
      <c r="O37" s="84"/>
      <c r="P37" s="84">
        <v>190.29999999999998</v>
      </c>
      <c r="Q37" s="84" cm="1">
        <f t="array" ref="Q37">YVAL(P37,_xlfn.ANCHORARRAY(UT_fitresult))</f>
        <v>0.63610322953415843</v>
      </c>
      <c r="R37" s="84" cm="1">
        <f t="array" ref="R37">UCONF(P37,_xlfn.ANCHORARRAY(UT_fitresult))</f>
        <v>7.1973031512873167E-2</v>
      </c>
      <c r="S37" s="84">
        <f t="shared" si="0"/>
        <v>0.56413019802128528</v>
      </c>
      <c r="T37" s="84">
        <f t="shared" si="1"/>
        <v>0.70807626104703159</v>
      </c>
    </row>
  </sheetData>
  <mergeCells count="3">
    <mergeCell ref="J3:K3"/>
    <mergeCell ref="M3:N3"/>
    <mergeCell ref="J10:K10"/>
  </mergeCells>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2C240-44AA-4752-AF1B-9FE6A73F908F}">
  <dimension ref="B1:D37"/>
  <sheetViews>
    <sheetView topLeftCell="B1" workbookViewId="0">
      <selection activeCell="B38" sqref="B38"/>
    </sheetView>
  </sheetViews>
  <sheetFormatPr defaultRowHeight="14.5"/>
  <cols>
    <col min="1" max="1" width="3.26953125" customWidth="1"/>
    <col min="2" max="2" width="27.7265625" customWidth="1"/>
    <col min="3" max="3" width="125" customWidth="1"/>
    <col min="4" max="4" width="63.81640625" style="83" customWidth="1"/>
  </cols>
  <sheetData>
    <row r="1" spans="2:4" s="123" customFormat="1">
      <c r="B1" s="126" t="s">
        <v>95</v>
      </c>
      <c r="D1" s="127" t="s">
        <v>96</v>
      </c>
    </row>
    <row r="2" spans="2:4" s="132" customFormat="1">
      <c r="B2" s="129" t="s">
        <v>97</v>
      </c>
      <c r="C2" s="130"/>
      <c r="D2" s="131"/>
    </row>
    <row r="3" spans="2:4">
      <c r="C3" s="128"/>
    </row>
    <row r="4" spans="2:4" ht="230.25" customHeight="1">
      <c r="B4" t="s">
        <v>107</v>
      </c>
      <c r="C4" s="128" t="s">
        <v>108</v>
      </c>
      <c r="D4" s="83" t="s">
        <v>109</v>
      </c>
    </row>
    <row r="5" spans="2:4" ht="27" customHeight="1">
      <c r="B5" t="s">
        <v>110</v>
      </c>
      <c r="C5" s="128" t="s">
        <v>111</v>
      </c>
      <c r="D5" s="83" t="s">
        <v>116</v>
      </c>
    </row>
    <row r="6" spans="2:4" ht="13.5" customHeight="1">
      <c r="C6" s="128"/>
    </row>
    <row r="7" spans="2:4" s="132" customFormat="1">
      <c r="B7" s="129" t="s">
        <v>112</v>
      </c>
      <c r="C7" s="130"/>
      <c r="D7" s="131"/>
    </row>
    <row r="8" spans="2:4" ht="188.5">
      <c r="B8" t="s">
        <v>113</v>
      </c>
      <c r="C8" s="128" t="s">
        <v>115</v>
      </c>
      <c r="D8" s="83" t="s">
        <v>114</v>
      </c>
    </row>
    <row r="9" spans="2:4" ht="261">
      <c r="B9" t="s">
        <v>117</v>
      </c>
      <c r="C9" s="128" t="s">
        <v>118</v>
      </c>
      <c r="D9" s="83" t="s">
        <v>119</v>
      </c>
    </row>
    <row r="10" spans="2:4" ht="174">
      <c r="B10" t="s">
        <v>120</v>
      </c>
      <c r="C10" s="128" t="s">
        <v>122</v>
      </c>
      <c r="D10" s="83" t="s">
        <v>121</v>
      </c>
    </row>
    <row r="12" spans="2:4" s="132" customFormat="1">
      <c r="B12" s="129" t="s">
        <v>123</v>
      </c>
      <c r="C12" s="130"/>
      <c r="D12" s="131"/>
    </row>
    <row r="13" spans="2:4" ht="130.5">
      <c r="B13" t="s">
        <v>125</v>
      </c>
      <c r="C13" s="128" t="s">
        <v>124</v>
      </c>
    </row>
    <row r="14" spans="2:4">
      <c r="B14" t="s">
        <v>126</v>
      </c>
      <c r="C14" s="128" t="s">
        <v>127</v>
      </c>
    </row>
    <row r="15" spans="2:4" ht="72.5">
      <c r="B15" t="s">
        <v>128</v>
      </c>
      <c r="C15" s="128" t="s">
        <v>131</v>
      </c>
    </row>
    <row r="16" spans="2:4" ht="87">
      <c r="B16" t="s">
        <v>129</v>
      </c>
      <c r="C16" s="128" t="s">
        <v>132</v>
      </c>
    </row>
    <row r="17" spans="2:4" ht="87">
      <c r="B17" t="s">
        <v>130</v>
      </c>
      <c r="C17" s="128" t="s">
        <v>133</v>
      </c>
    </row>
    <row r="18" spans="2:4" ht="87">
      <c r="B18" t="s">
        <v>134</v>
      </c>
      <c r="C18" s="128" t="s">
        <v>143</v>
      </c>
    </row>
    <row r="19" spans="2:4" ht="101.5">
      <c r="B19" t="s">
        <v>135</v>
      </c>
      <c r="C19" s="128" t="s">
        <v>142</v>
      </c>
    </row>
    <row r="20" spans="2:4" ht="116">
      <c r="B20" t="s">
        <v>136</v>
      </c>
      <c r="C20" s="128" t="s">
        <v>141</v>
      </c>
    </row>
    <row r="21" spans="2:4" ht="87">
      <c r="B21" t="s">
        <v>137</v>
      </c>
      <c r="C21" s="128" t="s">
        <v>140</v>
      </c>
    </row>
    <row r="22" spans="2:4" ht="87">
      <c r="B22" t="s">
        <v>138</v>
      </c>
      <c r="C22" s="128" t="s">
        <v>139</v>
      </c>
    </row>
    <row r="23" spans="2:4" ht="203">
      <c r="B23" t="s">
        <v>145</v>
      </c>
      <c r="C23" s="128" t="s">
        <v>144</v>
      </c>
      <c r="D23" s="83" t="s">
        <v>146</v>
      </c>
    </row>
    <row r="26" spans="2:4" s="132" customFormat="1">
      <c r="B26" s="129" t="s">
        <v>147</v>
      </c>
      <c r="C26" s="130"/>
      <c r="D26" s="131"/>
    </row>
    <row r="27" spans="2:4" ht="87">
      <c r="B27" t="s">
        <v>148</v>
      </c>
      <c r="C27" s="128" t="s">
        <v>149</v>
      </c>
      <c r="D27" s="83" t="s">
        <v>150</v>
      </c>
    </row>
    <row r="28" spans="2:4" ht="159.5">
      <c r="B28" t="s">
        <v>151</v>
      </c>
      <c r="C28" s="128" t="s">
        <v>152</v>
      </c>
      <c r="D28" s="83" t="s">
        <v>153</v>
      </c>
    </row>
    <row r="29" spans="2:4" ht="116">
      <c r="B29" t="s">
        <v>155</v>
      </c>
      <c r="C29" s="128" t="s">
        <v>156</v>
      </c>
      <c r="D29" s="83" t="s">
        <v>154</v>
      </c>
    </row>
    <row r="30" spans="2:4" ht="101.5">
      <c r="B30" t="s">
        <v>157</v>
      </c>
      <c r="C30" s="128" t="s">
        <v>159</v>
      </c>
      <c r="D30" s="83" t="s">
        <v>158</v>
      </c>
    </row>
    <row r="31" spans="2:4" ht="174">
      <c r="B31" t="s">
        <v>161</v>
      </c>
      <c r="C31" s="128" t="s">
        <v>160</v>
      </c>
      <c r="D31" s="83" t="s">
        <v>162</v>
      </c>
    </row>
    <row r="34" spans="2:4" s="132" customFormat="1">
      <c r="B34" s="129" t="s">
        <v>163</v>
      </c>
      <c r="C34" s="130"/>
      <c r="D34" s="131"/>
    </row>
    <row r="35" spans="2:4" ht="409.5">
      <c r="B35" t="s">
        <v>164</v>
      </c>
      <c r="C35" s="128" t="s">
        <v>165</v>
      </c>
      <c r="D35" s="83" t="s">
        <v>166</v>
      </c>
    </row>
    <row r="36" spans="2:4" ht="145">
      <c r="B36" t="s">
        <v>167</v>
      </c>
      <c r="C36" s="128" t="s">
        <v>168</v>
      </c>
      <c r="D36" s="83" t="s">
        <v>169</v>
      </c>
    </row>
    <row r="37" spans="2:4" ht="58">
      <c r="B37" t="s">
        <v>170</v>
      </c>
      <c r="C37" s="128" t="s">
        <v>171</v>
      </c>
      <c r="D37" s="83"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52</vt:i4>
      </vt:variant>
    </vt:vector>
  </HeadingPairs>
  <TitlesOfParts>
    <vt:vector size="60" baseType="lpstr">
      <vt:lpstr>Instructions</vt:lpstr>
      <vt:lpstr>A1 Simple</vt:lpstr>
      <vt:lpstr>A2 Incremental</vt:lpstr>
      <vt:lpstr>A3 Test Interval</vt:lpstr>
      <vt:lpstr>S2 Binomial</vt:lpstr>
      <vt:lpstr>V1 Reliability Target</vt:lpstr>
      <vt:lpstr>V1 Uncertainty Target</vt:lpstr>
      <vt:lpstr>Function Reference</vt:lpstr>
      <vt:lpstr>'A2 Incremental'!A2_delta</vt:lpstr>
      <vt:lpstr>'A2 Incremental'!A2_initial</vt:lpstr>
      <vt:lpstr>'A2 Incremental'!A2_target</vt:lpstr>
      <vt:lpstr>'A3 Test Interval'!ChangeConfidence</vt:lpstr>
      <vt:lpstr>'A3 Test Interval'!MaxChange</vt:lpstr>
      <vt:lpstr>'A3 Test Interval'!NumCals</vt:lpstr>
      <vt:lpstr>'A3 Test Interval'!NumPass</vt:lpstr>
      <vt:lpstr>'A3 Test Interval'!RejectionConfidence</vt:lpstr>
      <vt:lpstr>'A3 Test Interval'!ReliabilityObs</vt:lpstr>
      <vt:lpstr>'A3 Test Interval'!ReliabilityTarget</vt:lpstr>
      <vt:lpstr>'V1 Reliability Target'!RT_degf</vt:lpstr>
      <vt:lpstr>'V1 Reliability Target'!RT_delta</vt:lpstr>
      <vt:lpstr>'V1 Reliability Target'!RT_FitOrder</vt:lpstr>
      <vt:lpstr>'V1 Reliability Target'!RT_fitresult</vt:lpstr>
      <vt:lpstr>'V1 Reliability Target'!RT_fituncert</vt:lpstr>
      <vt:lpstr>'V1 Reliability Target'!RT_Initial</vt:lpstr>
      <vt:lpstr>'V1 Reliability Target'!RT_interval</vt:lpstr>
      <vt:lpstr>'V1 Reliability Target'!RT_LL</vt:lpstr>
      <vt:lpstr>'V1 Reliability Target'!RT_plotmax</vt:lpstr>
      <vt:lpstr>'V1 Reliability Target'!RT_plotmaxdata</vt:lpstr>
      <vt:lpstr>'V1 Reliability Target'!RT_predicteddegf</vt:lpstr>
      <vt:lpstr>'V1 Reliability Target'!RT_predictedu</vt:lpstr>
      <vt:lpstr>'V1 Reliability Target'!RT_predictedy</vt:lpstr>
      <vt:lpstr>'V1 Reliability Target'!RT_searchmax</vt:lpstr>
      <vt:lpstr>'V1 Reliability Target'!RT_target</vt:lpstr>
      <vt:lpstr>'V1 Reliability Target'!RT_time</vt:lpstr>
      <vt:lpstr>'V1 Reliability Target'!RT_Uinitial</vt:lpstr>
      <vt:lpstr>'V1 Reliability Target'!RT_UL</vt:lpstr>
      <vt:lpstr>'S2 Binomial'!S2_bestfit</vt:lpstr>
      <vt:lpstr>'S2 Binomial'!S2_foms</vt:lpstr>
      <vt:lpstr>S2_groups</vt:lpstr>
      <vt:lpstr>S2_interval_results</vt:lpstr>
      <vt:lpstr>'S2 Binomial'!S2_maxobserved</vt:lpstr>
      <vt:lpstr>'S2 Binomial'!S2_modelnames</vt:lpstr>
      <vt:lpstr>'S2 Binomial'!S2_target</vt:lpstr>
      <vt:lpstr>'A3 Test Interval'!TestInterval</vt:lpstr>
      <vt:lpstr>'V1 Uncertainty Target'!UT_degf</vt:lpstr>
      <vt:lpstr>'V1 Uncertainty Target'!UT_delta</vt:lpstr>
      <vt:lpstr>'V1 Uncertainty Target'!UT_fitorder</vt:lpstr>
      <vt:lpstr>'V1 Uncertainty Target'!UT_fitresult</vt:lpstr>
      <vt:lpstr>'V1 Uncertainty Target'!UT_fituncert</vt:lpstr>
      <vt:lpstr>'V1 Uncertainty Target'!UT_initial</vt:lpstr>
      <vt:lpstr>'V1 Uncertainty Target'!UT_interval</vt:lpstr>
      <vt:lpstr>'V1 Uncertainty Target'!UT_plotmax</vt:lpstr>
      <vt:lpstr>'V1 Uncertainty Target'!UT_plotmaxdata</vt:lpstr>
      <vt:lpstr>'V1 Uncertainty Target'!UT_predicted</vt:lpstr>
      <vt:lpstr>'V1 Uncertainty Target'!UT_predicteddegf</vt:lpstr>
      <vt:lpstr>'V1 Uncertainty Target'!UT_predictedu</vt:lpstr>
      <vt:lpstr>'V1 Uncertainty Target'!UT_searchmax</vt:lpstr>
      <vt:lpstr>'V1 Uncertainty Target'!UT_target</vt:lpstr>
      <vt:lpstr>'V1 Uncertainty Target'!UT_time</vt:lpstr>
      <vt:lpstr>'V1 Uncertainty Target'!UT_uinitial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Delker, Collin</dc:creator>
  <cp:lastModifiedBy>Delker, Collin</cp:lastModifiedBy>
  <dcterms:created xsi:type="dcterms:W3CDTF">2026-04-30T19:27:47Z</dcterms:created>
  <dcterms:modified xsi:type="dcterms:W3CDTF">2026-05-21T14:34:44Z</dcterms:modified>
</cp:coreProperties>
</file>